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<sst xmlns="http://schemas.openxmlformats.org/spreadsheetml/2006/main" count="111" uniqueCount="88">
  <si>
    <t>Años</t>
  </si>
  <si>
    <t>Proporción</t>
  </si>
  <si>
    <t>Prestaciones</t>
  </si>
  <si>
    <t>Días</t>
  </si>
  <si>
    <t>Vacaciones</t>
  </si>
  <si>
    <t>Año</t>
  </si>
  <si>
    <t>Finiquito</t>
  </si>
  <si>
    <t>Liquidación</t>
  </si>
  <si>
    <t>Area</t>
  </si>
  <si>
    <t>SalMin</t>
  </si>
  <si>
    <t>Solo finiquito</t>
  </si>
  <si>
    <t>Liquidación + 20 días</t>
  </si>
  <si>
    <t>"A"</t>
  </si>
  <si>
    <t>"B"</t>
  </si>
  <si>
    <t>"C"</t>
  </si>
  <si>
    <t>Exentos</t>
  </si>
  <si>
    <t>Proporcionales</t>
  </si>
  <si>
    <t>Percepciones</t>
  </si>
  <si>
    <t>Impuesto Liquidación</t>
  </si>
  <si>
    <t>Gravado</t>
  </si>
  <si>
    <t>Gravado Mensualizado</t>
  </si>
  <si>
    <t>Promedio Mensual</t>
  </si>
  <si>
    <t>Salario Mensual</t>
  </si>
  <si>
    <t>Impuesto de Promedio</t>
  </si>
  <si>
    <t>Tabla Art. 113 LISR</t>
  </si>
  <si>
    <t>Límite Inferior</t>
  </si>
  <si>
    <t>Superior</t>
  </si>
  <si>
    <t>Cuota Fija</t>
  </si>
  <si>
    <t>Tasa</t>
  </si>
  <si>
    <t>Subsidio para el Empleo</t>
  </si>
  <si>
    <t>Subsidio</t>
  </si>
  <si>
    <t>(-) Límite Inferior</t>
  </si>
  <si>
    <t>(=) Excedente</t>
  </si>
  <si>
    <t>(X) Tasa</t>
  </si>
  <si>
    <t>(=) Impuesto Marginal</t>
  </si>
  <si>
    <t>(+) Cuota Fija</t>
  </si>
  <si>
    <t>(=) ISR Promedio Mensual</t>
  </si>
  <si>
    <t>Impuesto de Salario Mensual</t>
  </si>
  <si>
    <t>Impuesto de Promedio Mensual</t>
  </si>
  <si>
    <t>Impuesto de Salario</t>
  </si>
  <si>
    <t>Diferencia Impuestos</t>
  </si>
  <si>
    <t>Impuesto</t>
  </si>
  <si>
    <t>ISR de Percepciones Periódicas</t>
  </si>
  <si>
    <t>Percepciones Gravadas</t>
  </si>
  <si>
    <t>( / ) Días de Periodo de Pago</t>
  </si>
  <si>
    <t>(X) Factor Mensual</t>
  </si>
  <si>
    <t>(=) Gravadas Promedio Mensual</t>
  </si>
  <si>
    <t>(/ ) Factor Mensual</t>
  </si>
  <si>
    <t>(X) Días de Periodo de Pago</t>
  </si>
  <si>
    <t>(=) ISR de Periodo</t>
  </si>
  <si>
    <t>Subsidio al Empleo</t>
  </si>
  <si>
    <t>Gravadas Promedio Mensual</t>
  </si>
  <si>
    <t>Tabla Subsidio al Empleo</t>
  </si>
  <si>
    <t>(/) Factor Mensual</t>
  </si>
  <si>
    <t>(=) Subsidio del Periodo</t>
  </si>
  <si>
    <t>Datos del empleado</t>
  </si>
  <si>
    <t xml:space="preserve"> </t>
  </si>
  <si>
    <t>Fecha de Ingreso:</t>
  </si>
  <si>
    <t>Fecha de Baja:</t>
  </si>
  <si>
    <t>Antigüedad:</t>
  </si>
  <si>
    <t>Salario Diario:</t>
  </si>
  <si>
    <t>Salario Diario Integrado:</t>
  </si>
  <si>
    <t>Saldo Vacaciones años anteriores:</t>
  </si>
  <si>
    <t>Calcular:</t>
  </si>
  <si>
    <t>Salario Mínimo:</t>
  </si>
  <si>
    <t>Días de Aguinaldo:</t>
  </si>
  <si>
    <t>Días de Vacaciones:</t>
  </si>
  <si>
    <t>Prima Vacacional:</t>
  </si>
  <si>
    <t>Aguinaldo:</t>
  </si>
  <si>
    <t>Vacaciones:</t>
  </si>
  <si>
    <t>SubTotal Finiquito:</t>
  </si>
  <si>
    <t>Tres meses de salario:</t>
  </si>
  <si>
    <t>Prima de Antigüedad:</t>
  </si>
  <si>
    <t>Veinte días por año de servicio:</t>
  </si>
  <si>
    <t>SubTotal Liquidación:</t>
  </si>
  <si>
    <t>Total de Percepciones:</t>
  </si>
  <si>
    <t>(-) ISR de pagos por separación:</t>
  </si>
  <si>
    <t>Neto a recibir:</t>
  </si>
  <si>
    <t>Días pendientes de pago ordinario:</t>
  </si>
  <si>
    <t>Ordinario Pendiente:</t>
  </si>
  <si>
    <t xml:space="preserve">(-) ISR de Vacaciones y Ordinario: </t>
  </si>
  <si>
    <t>(+) SUBE de Vacaciones y Ordinario:</t>
  </si>
  <si>
    <t>Área geográfica donde trabajó:</t>
  </si>
  <si>
    <t>Vacaciones y Pendientes</t>
  </si>
  <si>
    <t>Días de Vacaciones y Pendientes</t>
  </si>
  <si>
    <t>YearDif</t>
  </si>
  <si>
    <t>DiasDif</t>
  </si>
  <si>
    <t>Cálculo de Finiquito/Liquidación 2011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</si>
</sst>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0.0"/>
    <numFmt numFmtId="174" formatCode="0.000"/>
    <numFmt numFmtId="175" formatCode="dd\.mm\.yyyy;@"/>
    <numFmt numFmtId="176" formatCode="[$-409]dddd\,\ mmmm\ dd\,\ yyyy"/>
    <numFmt numFmtId="177" formatCode="[$-409]h:mm:ss\ AM/PM"/>
    <numFmt numFmtId="178" formatCode="0.0000"/>
    <numFmt numFmtId="179" formatCode="0.00000000"/>
    <numFmt numFmtId="180" formatCode="0.0000000"/>
    <numFmt numFmtId="181" formatCode="0.000000"/>
    <numFmt numFmtId="182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libri"/>
      <family val="2"/>
    </font>
    <font>
      <b/>
      <i/>
      <sz val="12"/>
      <color indexed="63"/>
      <name val="Calibri"/>
      <family val="2"/>
    </font>
    <font>
      <b/>
      <sz val="16"/>
      <color indexed="63"/>
      <name val="Calibri"/>
      <family val="2"/>
    </font>
    <font>
      <b/>
      <sz val="12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20"/>
      <color theme="0"/>
      <name val="Calibri"/>
      <family val="2"/>
    </font>
    <font>
      <b/>
      <i/>
      <sz val="12"/>
      <color theme="1" tint="0.15000000596046448"/>
      <name val="Calibri"/>
      <family val="2"/>
    </font>
    <font>
      <b/>
      <sz val="16"/>
      <color theme="1" tint="0.1500000059604644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479249"/>
        <bgColor indexed="64"/>
      </patternFill>
    </fill>
    <fill>
      <patternFill patternType="solid">
        <fgColor rgb="FF478F4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0AD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1" fillId="0" borderId="0" xfId="0" applyNumberFormat="1" applyFont="1" applyAlignment="1">
      <alignment horizontal="right"/>
    </xf>
    <xf numFmtId="170" fontId="41" fillId="0" borderId="0" xfId="0" applyNumberFormat="1" applyFont="1" applyAlignment="1">
      <alignment/>
    </xf>
    <xf numFmtId="10" fontId="0" fillId="0" borderId="10" xfId="52" applyNumberFormat="1" applyFont="1" applyFill="1" applyBorder="1" applyAlignment="1">
      <alignment/>
    </xf>
    <xf numFmtId="170" fontId="0" fillId="0" borderId="10" xfId="48" applyFont="1" applyFill="1" applyBorder="1" applyAlignment="1">
      <alignment/>
    </xf>
    <xf numFmtId="0" fontId="0" fillId="33" borderId="0" xfId="0" applyFill="1" applyAlignment="1">
      <alignment/>
    </xf>
    <xf numFmtId="0" fontId="42" fillId="34" borderId="0" xfId="0" applyFont="1" applyFill="1" applyBorder="1" applyAlignment="1">
      <alignment horizontal="right"/>
    </xf>
    <xf numFmtId="0" fontId="32" fillId="29" borderId="1" xfId="44" applyNumberFormat="1" applyAlignment="1" applyProtection="1">
      <alignment/>
      <protection locked="0"/>
    </xf>
    <xf numFmtId="170" fontId="32" fillId="29" borderId="1" xfId="44" applyNumberFormat="1" applyAlignment="1" applyProtection="1">
      <alignment/>
      <protection locked="0"/>
    </xf>
    <xf numFmtId="9" fontId="32" fillId="29" borderId="1" xfId="52" applyFont="1" applyFill="1" applyBorder="1" applyAlignment="1" applyProtection="1">
      <alignment/>
      <protection locked="0"/>
    </xf>
    <xf numFmtId="0" fontId="35" fillId="21" borderId="5" xfId="53" applyNumberFormat="1" applyAlignment="1" applyProtection="1">
      <alignment/>
      <protection/>
    </xf>
    <xf numFmtId="167" fontId="35" fillId="21" borderId="5" xfId="53" applyNumberFormat="1" applyAlignment="1">
      <alignment/>
    </xf>
    <xf numFmtId="0" fontId="43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44" fillId="35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 horizontal="right"/>
      <protection locked="0"/>
    </xf>
    <xf numFmtId="170" fontId="2" fillId="36" borderId="0" xfId="48" applyFont="1" applyFill="1" applyBorder="1" applyAlignment="1" applyProtection="1">
      <alignment/>
      <protection/>
    </xf>
    <xf numFmtId="0" fontId="35" fillId="21" borderId="5" xfId="53" applyNumberFormat="1" applyAlignment="1">
      <alignment horizontal="center"/>
    </xf>
    <xf numFmtId="170" fontId="35" fillId="21" borderId="5" xfId="53" applyNumberFormat="1" applyAlignment="1">
      <alignment/>
    </xf>
    <xf numFmtId="170" fontId="35" fillId="21" borderId="5" xfId="53" applyNumberFormat="1" applyAlignment="1">
      <alignment horizontal="center"/>
    </xf>
    <xf numFmtId="0" fontId="35" fillId="21" borderId="5" xfId="53" applyNumberFormat="1" applyAlignment="1">
      <alignment/>
    </xf>
    <xf numFmtId="172" fontId="32" fillId="29" borderId="1" xfId="44" applyNumberFormat="1" applyAlignment="1" applyProtection="1">
      <alignment/>
      <protection locked="0"/>
    </xf>
    <xf numFmtId="0" fontId="32" fillId="29" borderId="1" xfId="44" applyNumberFormat="1" applyAlignment="1" applyProtection="1">
      <alignment horizontal="right"/>
      <protection locked="0"/>
    </xf>
    <xf numFmtId="167" fontId="35" fillId="21" borderId="5" xfId="53" applyNumberFormat="1" applyAlignment="1" applyProtection="1">
      <alignment/>
      <protection/>
    </xf>
    <xf numFmtId="0" fontId="2" fillId="36" borderId="0" xfId="0" applyFont="1" applyFill="1" applyBorder="1" applyAlignment="1" applyProtection="1">
      <alignment horizontal="right"/>
      <protection/>
    </xf>
    <xf numFmtId="2" fontId="35" fillId="21" borderId="5" xfId="53" applyNumberFormat="1" applyAlignment="1" applyProtection="1">
      <alignment/>
      <protection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1" xfId="0" applyFill="1" applyBorder="1" applyAlignment="1">
      <alignment horizontal="right"/>
    </xf>
    <xf numFmtId="170" fontId="0" fillId="0" borderId="0" xfId="48" applyFont="1" applyFill="1" applyBorder="1" applyAlignment="1">
      <alignment/>
    </xf>
    <xf numFmtId="10" fontId="0" fillId="0" borderId="0" xfId="52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2" fillId="0" borderId="10" xfId="48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70" fontId="0" fillId="0" borderId="0" xfId="48" applyFont="1" applyFill="1" applyAlignment="1">
      <alignment/>
    </xf>
    <xf numFmtId="2" fontId="0" fillId="0" borderId="0" xfId="0" applyNumberFormat="1" applyFill="1" applyAlignment="1">
      <alignment/>
    </xf>
    <xf numFmtId="170" fontId="4" fillId="0" borderId="12" xfId="48" applyFont="1" applyFill="1" applyBorder="1" applyAlignment="1">
      <alignment/>
    </xf>
    <xf numFmtId="170" fontId="0" fillId="0" borderId="13" xfId="48" applyFont="1" applyFill="1" applyBorder="1" applyAlignment="1">
      <alignment/>
    </xf>
    <xf numFmtId="2" fontId="0" fillId="0" borderId="0" xfId="48" applyNumberFormat="1" applyFont="1" applyFill="1" applyBorder="1" applyAlignment="1">
      <alignment/>
    </xf>
    <xf numFmtId="0" fontId="0" fillId="0" borderId="0" xfId="48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right"/>
    </xf>
    <xf numFmtId="170" fontId="0" fillId="0" borderId="15" xfId="48" applyFont="1" applyFill="1" applyBorder="1" applyAlignment="1">
      <alignment/>
    </xf>
    <xf numFmtId="170" fontId="0" fillId="0" borderId="16" xfId="48" applyFont="1" applyFill="1" applyBorder="1" applyAlignment="1">
      <alignment/>
    </xf>
    <xf numFmtId="167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4" fontId="35" fillId="21" borderId="5" xfId="53" applyNumberFormat="1" applyAlignment="1" applyProtection="1">
      <alignment/>
      <protection/>
    </xf>
    <xf numFmtId="167" fontId="35" fillId="21" borderId="5" xfId="53" applyNumberFormat="1" applyAlignment="1" applyProtection="1">
      <alignment/>
      <protection locked="0"/>
    </xf>
    <xf numFmtId="170" fontId="35" fillId="21" borderId="5" xfId="53" applyNumberFormat="1" applyAlignment="1" applyProtection="1">
      <alignment/>
      <protection locked="0"/>
    </xf>
    <xf numFmtId="0" fontId="43" fillId="33" borderId="0" xfId="0" applyFont="1" applyFill="1" applyAlignment="1">
      <alignment horizontal="center"/>
    </xf>
    <xf numFmtId="0" fontId="45" fillId="35" borderId="0" xfId="0" applyNumberFormat="1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1" fillId="37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anomina.com.mx/" TargetMode="External" /><Relationship Id="rId3" Type="http://schemas.openxmlformats.org/officeDocument/2006/relationships/hyperlink" Target="http://www.lanomina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</xdr:row>
      <xdr:rowOff>161925</xdr:rowOff>
    </xdr:from>
    <xdr:to>
      <xdr:col>5</xdr:col>
      <xdr:colOff>123825</xdr:colOff>
      <xdr:row>12</xdr:row>
      <xdr:rowOff>19050</xdr:rowOff>
    </xdr:to>
    <xdr:sp>
      <xdr:nvSpPr>
        <xdr:cNvPr id="1" name="Right Arrow 4"/>
        <xdr:cNvSpPr>
          <a:spLocks/>
        </xdr:cNvSpPr>
      </xdr:nvSpPr>
      <xdr:spPr>
        <a:xfrm rot="10800000">
          <a:off x="5048250" y="2038350"/>
          <a:ext cx="857250" cy="428625"/>
        </a:xfrm>
        <a:prstGeom prst="righ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1285875</xdr:colOff>
      <xdr:row>2</xdr:row>
      <xdr:rowOff>19050</xdr:rowOff>
    </xdr:from>
    <xdr:to>
      <xdr:col>3</xdr:col>
      <xdr:colOff>295275</xdr:colOff>
      <xdr:row>5</xdr:row>
      <xdr:rowOff>142875</xdr:rowOff>
    </xdr:to>
    <xdr:pic>
      <xdr:nvPicPr>
        <xdr:cNvPr id="2" name="Picture 1" descr="LaNominaLogoFinal250-61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542925"/>
          <a:ext cx="2609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390525</xdr:colOff>
      <xdr:row>10</xdr:row>
      <xdr:rowOff>47625</xdr:rowOff>
    </xdr:from>
    <xdr:ext cx="1600200" cy="266700"/>
    <xdr:sp>
      <xdr:nvSpPr>
        <xdr:cNvPr id="3" name="TextBox 2"/>
        <xdr:cNvSpPr txBox="1">
          <a:spLocks noChangeArrowheads="1"/>
        </xdr:cNvSpPr>
      </xdr:nvSpPr>
      <xdr:spPr>
        <a:xfrm>
          <a:off x="6172200" y="2114550"/>
          <a:ext cx="1600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Captura los datos</a:t>
          </a:r>
        </a:p>
      </xdr:txBody>
    </xdr:sp>
    <xdr:clientData/>
  </xdr:oneCellAnchor>
  <xdr:twoCellAnchor>
    <xdr:from>
      <xdr:col>4</xdr:col>
      <xdr:colOff>657225</xdr:colOff>
      <xdr:row>9</xdr:row>
      <xdr:rowOff>152400</xdr:rowOff>
    </xdr:from>
    <xdr:to>
      <xdr:col>5</xdr:col>
      <xdr:colOff>390525</xdr:colOff>
      <xdr:row>12</xdr:row>
      <xdr:rowOff>19050</xdr:rowOff>
    </xdr:to>
    <xdr:sp>
      <xdr:nvSpPr>
        <xdr:cNvPr id="4" name="Hexagon 3"/>
        <xdr:cNvSpPr>
          <a:spLocks/>
        </xdr:cNvSpPr>
      </xdr:nvSpPr>
      <xdr:spPr>
        <a:xfrm>
          <a:off x="5667375" y="2028825"/>
          <a:ext cx="504825" cy="438150"/>
        </a:xfrm>
        <a:prstGeom prst="hexag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66675</xdr:colOff>
      <xdr:row>24</xdr:row>
      <xdr:rowOff>66675</xdr:rowOff>
    </xdr:from>
    <xdr:to>
      <xdr:col>5</xdr:col>
      <xdr:colOff>152400</xdr:colOff>
      <xdr:row>26</xdr:row>
      <xdr:rowOff>114300</xdr:rowOff>
    </xdr:to>
    <xdr:sp>
      <xdr:nvSpPr>
        <xdr:cNvPr id="5" name="Right Arrow 5"/>
        <xdr:cNvSpPr>
          <a:spLocks/>
        </xdr:cNvSpPr>
      </xdr:nvSpPr>
      <xdr:spPr>
        <a:xfrm rot="10800000">
          <a:off x="5076825" y="4772025"/>
          <a:ext cx="857250" cy="428625"/>
        </a:xfrm>
        <a:prstGeom prst="righ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419100</xdr:colOff>
      <xdr:row>24</xdr:row>
      <xdr:rowOff>142875</xdr:rowOff>
    </xdr:from>
    <xdr:ext cx="1647825" cy="266700"/>
    <xdr:sp>
      <xdr:nvSpPr>
        <xdr:cNvPr id="6" name="TextBox 6"/>
        <xdr:cNvSpPr txBox="1">
          <a:spLocks noChangeArrowheads="1"/>
        </xdr:cNvSpPr>
      </xdr:nvSpPr>
      <xdr:spPr>
        <a:xfrm>
          <a:off x="6200775" y="4848225"/>
          <a:ext cx="1647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Consulta los resultados</a:t>
          </a:r>
        </a:p>
      </xdr:txBody>
    </xdr:sp>
    <xdr:clientData/>
  </xdr:oneCellAnchor>
  <xdr:twoCellAnchor>
    <xdr:from>
      <xdr:col>4</xdr:col>
      <xdr:colOff>685800</xdr:colOff>
      <xdr:row>24</xdr:row>
      <xdr:rowOff>57150</xdr:rowOff>
    </xdr:from>
    <xdr:to>
      <xdr:col>5</xdr:col>
      <xdr:colOff>419100</xdr:colOff>
      <xdr:row>26</xdr:row>
      <xdr:rowOff>114300</xdr:rowOff>
    </xdr:to>
    <xdr:sp>
      <xdr:nvSpPr>
        <xdr:cNvPr id="7" name="Hexagon 7"/>
        <xdr:cNvSpPr>
          <a:spLocks/>
        </xdr:cNvSpPr>
      </xdr:nvSpPr>
      <xdr:spPr>
        <a:xfrm>
          <a:off x="5695950" y="4762500"/>
          <a:ext cx="504825" cy="438150"/>
        </a:xfrm>
        <a:prstGeom prst="hexag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showGridLines="0" showRowColHeaders="0" tabSelected="1" zoomScalePageLayoutView="75" workbookViewId="0" topLeftCell="A1">
      <selection activeCell="C8" sqref="C8"/>
    </sheetView>
  </sheetViews>
  <sheetFormatPr defaultColWidth="9.140625" defaultRowHeight="15"/>
  <cols>
    <col min="1" max="1" width="4.8515625" style="1" customWidth="1"/>
    <col min="2" max="2" width="34.8515625" style="2" customWidth="1"/>
    <col min="3" max="3" width="19.140625" style="1" bestFit="1" customWidth="1"/>
    <col min="4" max="4" width="16.28125" style="1" customWidth="1"/>
    <col min="5" max="6" width="11.57421875" style="1" bestFit="1" customWidth="1"/>
    <col min="7" max="7" width="20.28125" style="1" customWidth="1"/>
    <col min="8" max="8" width="11.28125" style="29" hidden="1" customWidth="1"/>
    <col min="9" max="9" width="10.8515625" style="29" hidden="1" customWidth="1"/>
    <col min="10" max="10" width="9.140625" style="29" hidden="1" customWidth="1"/>
    <col min="11" max="11" width="29.421875" style="29" hidden="1" customWidth="1"/>
    <col min="12" max="12" width="13.7109375" style="29" hidden="1" customWidth="1"/>
    <col min="13" max="13" width="11.57421875" style="29" hidden="1" customWidth="1"/>
    <col min="14" max="14" width="17.00390625" style="29" hidden="1" customWidth="1"/>
    <col min="15" max="15" width="11.57421875" style="29" hidden="1" customWidth="1"/>
    <col min="16" max="16" width="9.140625" style="29" customWidth="1"/>
    <col min="17" max="16384" width="9.140625" style="1" customWidth="1"/>
  </cols>
  <sheetData>
    <row r="1" spans="1:16" ht="15">
      <c r="A1" s="6"/>
      <c r="B1" s="6"/>
      <c r="C1" s="6"/>
      <c r="D1" s="6"/>
      <c r="E1" s="6"/>
      <c r="F1" s="6"/>
      <c r="G1" s="6"/>
      <c r="H1" s="27"/>
      <c r="I1" s="27"/>
      <c r="J1" s="27"/>
      <c r="K1" s="27"/>
      <c r="L1" s="27"/>
      <c r="M1" s="27"/>
      <c r="N1" s="27"/>
      <c r="O1" s="27"/>
      <c r="P1" s="27"/>
    </row>
    <row r="2" spans="1:16" ht="26.25">
      <c r="A2" s="57" t="s">
        <v>87</v>
      </c>
      <c r="B2" s="57"/>
      <c r="C2" s="57"/>
      <c r="D2" s="57"/>
      <c r="E2" s="57"/>
      <c r="F2" s="6"/>
      <c r="G2" s="6"/>
      <c r="H2" s="27"/>
      <c r="I2" s="27"/>
      <c r="J2" s="27"/>
      <c r="K2" s="27"/>
      <c r="L2" s="27"/>
      <c r="M2" s="27"/>
      <c r="N2" s="27"/>
      <c r="O2" s="27"/>
      <c r="P2" s="27"/>
    </row>
    <row r="3" spans="1:16" ht="10.5" customHeight="1">
      <c r="A3" s="13"/>
      <c r="B3" s="13"/>
      <c r="C3" s="13"/>
      <c r="D3" s="13"/>
      <c r="E3" s="13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</row>
    <row r="4" spans="1:16" ht="15">
      <c r="A4" s="6"/>
      <c r="B4" s="6"/>
      <c r="C4" s="6"/>
      <c r="D4" s="6"/>
      <c r="E4" s="6"/>
      <c r="F4" s="6"/>
      <c r="G4" s="6"/>
      <c r="H4" s="27">
        <f>YEAR(C9)-YEAR(C8)</f>
        <v>0</v>
      </c>
      <c r="I4" s="27"/>
      <c r="J4" s="27" t="s">
        <v>8</v>
      </c>
      <c r="K4" s="27" t="s">
        <v>9</v>
      </c>
      <c r="L4" s="27"/>
      <c r="M4" s="27"/>
      <c r="N4" s="27"/>
      <c r="O4" s="27"/>
      <c r="P4" s="27"/>
    </row>
    <row r="5" spans="1:16" ht="15">
      <c r="A5" s="6"/>
      <c r="B5" s="6"/>
      <c r="C5" s="6"/>
      <c r="D5" s="6"/>
      <c r="E5" s="6"/>
      <c r="F5" s="6"/>
      <c r="G5" s="6"/>
      <c r="H5" s="52">
        <f>DATE(YEAR(C9),MONTH(C8),DAY(C8))</f>
        <v>40544</v>
      </c>
      <c r="I5" s="27"/>
      <c r="J5" s="27"/>
      <c r="K5" s="27"/>
      <c r="L5" s="27"/>
      <c r="M5" s="27"/>
      <c r="N5" s="27"/>
      <c r="O5" s="27"/>
      <c r="P5" s="27"/>
    </row>
    <row r="6" spans="1:16" ht="15">
      <c r="A6" s="6"/>
      <c r="B6" s="6"/>
      <c r="C6" s="6"/>
      <c r="D6" s="6"/>
      <c r="E6" s="6"/>
      <c r="F6" s="6"/>
      <c r="G6" s="6"/>
      <c r="H6" s="27">
        <f>MIN(C9-H5,364.5)</f>
        <v>96</v>
      </c>
      <c r="I6" s="27"/>
      <c r="J6" s="27"/>
      <c r="K6" s="27"/>
      <c r="L6" s="27"/>
      <c r="M6" s="27"/>
      <c r="N6" s="27"/>
      <c r="O6" s="27"/>
      <c r="P6" s="27"/>
    </row>
    <row r="7" spans="1:16" ht="21">
      <c r="A7" s="6"/>
      <c r="B7" s="58" t="s">
        <v>55</v>
      </c>
      <c r="C7" s="58"/>
      <c r="D7" s="58"/>
      <c r="E7" s="6"/>
      <c r="F7" s="6"/>
      <c r="G7" s="6"/>
      <c r="H7" s="27">
        <f>ROUND(H4+H6/365,3)</f>
        <v>0.263</v>
      </c>
      <c r="I7" s="27"/>
      <c r="J7" s="27"/>
      <c r="K7" s="27"/>
      <c r="L7" s="27"/>
      <c r="M7" s="27"/>
      <c r="N7" s="27"/>
      <c r="O7" s="27"/>
      <c r="P7" s="27"/>
    </row>
    <row r="8" spans="1:16" ht="15">
      <c r="A8" s="6"/>
      <c r="B8" s="7" t="s">
        <v>57</v>
      </c>
      <c r="C8" s="22">
        <v>40544</v>
      </c>
      <c r="D8" s="14"/>
      <c r="E8" s="6"/>
      <c r="F8" s="6"/>
      <c r="G8" s="6"/>
      <c r="H8" s="52">
        <f>IF(DATE(YEAR(C9),MONTH(C8),DAY(C8))&gt;=C9,DATE(YEAR(C9)-1,MONTH(C8),DAY(C8)),DATE(YEAR(C9),MONTH(C8),DAY(C8)))</f>
        <v>40544</v>
      </c>
      <c r="I8" s="27"/>
      <c r="J8" s="27" t="s">
        <v>12</v>
      </c>
      <c r="K8" s="27">
        <v>59.82</v>
      </c>
      <c r="L8" s="27"/>
      <c r="M8" s="27"/>
      <c r="N8" s="27"/>
      <c r="O8" s="27"/>
      <c r="P8" s="27"/>
    </row>
    <row r="9" spans="1:16" ht="15">
      <c r="A9" s="6"/>
      <c r="B9" s="7" t="s">
        <v>58</v>
      </c>
      <c r="C9" s="22">
        <f ca="1">TODAY()</f>
        <v>40640</v>
      </c>
      <c r="D9" s="14"/>
      <c r="E9" s="6"/>
      <c r="F9" s="6"/>
      <c r="G9" s="6"/>
      <c r="H9" s="52"/>
      <c r="I9" s="27"/>
      <c r="J9" s="27" t="s">
        <v>13</v>
      </c>
      <c r="K9" s="27">
        <v>58.13</v>
      </c>
      <c r="L9" s="27"/>
      <c r="M9" s="27"/>
      <c r="N9" s="27"/>
      <c r="O9" s="27"/>
      <c r="P9" s="27"/>
    </row>
    <row r="10" spans="1:16" ht="15">
      <c r="A10" s="6"/>
      <c r="B10" s="7" t="s">
        <v>59</v>
      </c>
      <c r="C10" s="54">
        <f>IF(C9&gt;=C8,H7,0)</f>
        <v>0.263</v>
      </c>
      <c r="D10" s="11" t="s">
        <v>0</v>
      </c>
      <c r="E10" s="6"/>
      <c r="F10" s="6"/>
      <c r="G10" s="6"/>
      <c r="H10" s="27"/>
      <c r="I10" s="27"/>
      <c r="J10" s="27" t="s">
        <v>14</v>
      </c>
      <c r="K10" s="27">
        <v>56.7</v>
      </c>
      <c r="L10" s="27"/>
      <c r="M10" s="27"/>
      <c r="N10" s="27"/>
      <c r="O10" s="27"/>
      <c r="P10" s="27"/>
    </row>
    <row r="11" spans="1:16" ht="15">
      <c r="A11" s="6"/>
      <c r="B11" s="7" t="s">
        <v>60</v>
      </c>
      <c r="C11" s="9">
        <v>100</v>
      </c>
      <c r="D11" s="14"/>
      <c r="E11" s="6"/>
      <c r="F11" s="6"/>
      <c r="G11" s="6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5">
      <c r="A12" s="6"/>
      <c r="B12" s="7" t="s">
        <v>61</v>
      </c>
      <c r="C12" s="9">
        <v>104.52</v>
      </c>
      <c r="D12" s="14"/>
      <c r="E12" s="6"/>
      <c r="F12" s="6"/>
      <c r="G12" s="6"/>
      <c r="H12" s="27"/>
      <c r="I12" s="27"/>
      <c r="J12" s="27" t="s">
        <v>10</v>
      </c>
      <c r="K12" s="27"/>
      <c r="L12" s="27"/>
      <c r="M12" s="27"/>
      <c r="N12" s="27"/>
      <c r="O12" s="27"/>
      <c r="P12" s="27"/>
    </row>
    <row r="13" spans="1:16" ht="15">
      <c r="A13" s="6"/>
      <c r="B13" s="7" t="s">
        <v>62</v>
      </c>
      <c r="C13" s="8">
        <v>0</v>
      </c>
      <c r="D13" s="11" t="s">
        <v>3</v>
      </c>
      <c r="E13" s="6"/>
      <c r="F13" s="6"/>
      <c r="G13" s="6"/>
      <c r="H13" s="27"/>
      <c r="I13" s="27"/>
      <c r="J13" s="27" t="s">
        <v>7</v>
      </c>
      <c r="K13" s="27"/>
      <c r="L13" s="27"/>
      <c r="M13" s="27"/>
      <c r="N13" s="27"/>
      <c r="O13" s="27"/>
      <c r="P13" s="27"/>
    </row>
    <row r="14" spans="1:16" ht="15">
      <c r="A14" s="6"/>
      <c r="B14" s="7" t="s">
        <v>78</v>
      </c>
      <c r="C14" s="8">
        <v>0</v>
      </c>
      <c r="D14" s="11" t="s">
        <v>3</v>
      </c>
      <c r="E14" s="6"/>
      <c r="F14" s="6"/>
      <c r="G14" s="6"/>
      <c r="H14" s="27"/>
      <c r="I14" s="27"/>
      <c r="J14" s="27" t="s">
        <v>11</v>
      </c>
      <c r="K14" s="27"/>
      <c r="L14" s="27"/>
      <c r="M14" s="27"/>
      <c r="N14" s="27"/>
      <c r="O14" s="27"/>
      <c r="P14" s="27"/>
    </row>
    <row r="15" spans="1:16" ht="15">
      <c r="A15" s="6"/>
      <c r="B15" s="7" t="s">
        <v>63</v>
      </c>
      <c r="C15" s="23" t="s">
        <v>10</v>
      </c>
      <c r="D15" s="14"/>
      <c r="E15" s="6"/>
      <c r="F15" s="6"/>
      <c r="G15" s="6"/>
      <c r="H15" s="27"/>
      <c r="I15" s="27"/>
      <c r="K15" s="27"/>
      <c r="L15" s="27"/>
      <c r="M15" s="27"/>
      <c r="N15" s="27"/>
      <c r="O15" s="27"/>
      <c r="P15" s="27"/>
    </row>
    <row r="16" spans="1:16" ht="15">
      <c r="A16" s="6"/>
      <c r="B16" s="7" t="s">
        <v>82</v>
      </c>
      <c r="C16" s="23" t="s">
        <v>12</v>
      </c>
      <c r="D16" s="14"/>
      <c r="E16" s="6"/>
      <c r="F16" s="6"/>
      <c r="G16" s="6"/>
      <c r="H16" s="27"/>
      <c r="I16" s="51">
        <f>IF(DATE(YEAR(C9),MONTH(C8),DAY(C8))&gt;=C9,DATE(YEAR(C9)-1,MONTH(C8),DAY(C8)),DATE(YEAR(C9),MONTH(C8),DAY(C8)))</f>
        <v>40544</v>
      </c>
      <c r="J16" s="27"/>
      <c r="K16" s="27"/>
      <c r="L16" s="27"/>
      <c r="M16" s="27"/>
      <c r="N16" s="27"/>
      <c r="O16" s="27"/>
      <c r="P16" s="27"/>
    </row>
    <row r="17" spans="1:16" ht="15">
      <c r="A17" s="6"/>
      <c r="B17" s="7" t="s">
        <v>64</v>
      </c>
      <c r="C17" s="24">
        <f>VLOOKUP(C16,J8:K10,2)</f>
        <v>59.82</v>
      </c>
      <c r="D17" s="14"/>
      <c r="E17" s="6"/>
      <c r="F17" s="6"/>
      <c r="G17" s="6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21">
      <c r="A18" s="6"/>
      <c r="B18" s="58" t="s">
        <v>2</v>
      </c>
      <c r="C18" s="58"/>
      <c r="D18" s="15" t="s">
        <v>16</v>
      </c>
      <c r="E18" s="6"/>
      <c r="F18" s="6"/>
      <c r="G18" s="6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5">
      <c r="A19" s="6"/>
      <c r="B19" s="7" t="s">
        <v>65</v>
      </c>
      <c r="C19" s="8">
        <v>15</v>
      </c>
      <c r="D19" s="26">
        <f>C19*ROUND((C9-MAX(DATE(YEAR(C9),1,1),C8)+1)/365,4)</f>
        <v>3.9869999999999997</v>
      </c>
      <c r="E19" s="6"/>
      <c r="F19" s="6"/>
      <c r="G19" s="6"/>
      <c r="H19" s="27" t="s">
        <v>5</v>
      </c>
      <c r="I19" s="27" t="s">
        <v>4</v>
      </c>
      <c r="J19" s="27"/>
      <c r="K19" s="27"/>
      <c r="L19" s="27"/>
      <c r="M19" s="27"/>
      <c r="N19" s="27"/>
      <c r="O19" s="27"/>
      <c r="P19" s="27"/>
    </row>
    <row r="20" spans="1:16" ht="15">
      <c r="A20" s="6"/>
      <c r="B20" s="7" t="s">
        <v>66</v>
      </c>
      <c r="C20" s="8">
        <f>VLOOKUP(IF(C10=FLOOR(C10,1),C10,FLOOR(C10,1)+1),H20:I70,2)</f>
        <v>6</v>
      </c>
      <c r="D20" s="11">
        <f>ROUND(ROUND((C9-I16)/365,7)*C20,2)</f>
        <v>1.58</v>
      </c>
      <c r="E20" s="6"/>
      <c r="F20" s="6"/>
      <c r="G20" s="6"/>
      <c r="H20" s="27">
        <v>0</v>
      </c>
      <c r="I20" s="27">
        <v>0</v>
      </c>
      <c r="J20" s="27"/>
      <c r="K20" s="27"/>
      <c r="L20" s="27"/>
      <c r="M20" s="27"/>
      <c r="N20" s="27"/>
      <c r="O20" s="27"/>
      <c r="P20" s="27"/>
    </row>
    <row r="21" spans="1:16" ht="15">
      <c r="A21" s="6"/>
      <c r="B21" s="7" t="s">
        <v>67</v>
      </c>
      <c r="C21" s="10">
        <v>0.25</v>
      </c>
      <c r="D21" s="14"/>
      <c r="E21" s="6"/>
      <c r="F21" s="6"/>
      <c r="G21" s="6"/>
      <c r="H21" s="27">
        <v>1</v>
      </c>
      <c r="I21" s="27">
        <v>6</v>
      </c>
      <c r="J21" s="27"/>
      <c r="K21" s="27"/>
      <c r="L21" s="27"/>
      <c r="M21" s="27"/>
      <c r="N21" s="27"/>
      <c r="O21" s="27"/>
      <c r="P21" s="27"/>
    </row>
    <row r="22" spans="1:16" ht="6.75" customHeight="1">
      <c r="A22" s="6"/>
      <c r="B22" s="6"/>
      <c r="C22" s="6"/>
      <c r="D22" s="6"/>
      <c r="E22" s="6"/>
      <c r="F22" s="6"/>
      <c r="G22" s="6"/>
      <c r="H22" s="29">
        <v>2</v>
      </c>
      <c r="I22" s="29">
        <v>8</v>
      </c>
      <c r="J22" s="27"/>
      <c r="K22" s="27"/>
      <c r="L22" s="27"/>
      <c r="M22" s="27"/>
      <c r="N22" s="27"/>
      <c r="O22" s="27"/>
      <c r="P22" s="27"/>
    </row>
    <row r="23" spans="1:16" ht="15">
      <c r="A23" s="6"/>
      <c r="B23" s="61" t="s">
        <v>6</v>
      </c>
      <c r="C23" s="61"/>
      <c r="D23" s="61"/>
      <c r="E23" s="6"/>
      <c r="F23" s="6"/>
      <c r="G23" s="6"/>
      <c r="H23" s="29">
        <v>3</v>
      </c>
      <c r="I23" s="29">
        <v>10</v>
      </c>
      <c r="J23" s="27"/>
      <c r="K23" s="27"/>
      <c r="L23" s="27"/>
      <c r="M23" s="27"/>
      <c r="N23" s="27"/>
      <c r="O23" s="27"/>
      <c r="P23" s="27"/>
    </row>
    <row r="24" spans="1:16" ht="15">
      <c r="A24" s="6"/>
      <c r="B24" s="14" t="s">
        <v>56</v>
      </c>
      <c r="C24" s="18" t="s">
        <v>17</v>
      </c>
      <c r="D24" s="18" t="s">
        <v>15</v>
      </c>
      <c r="E24" s="6"/>
      <c r="F24" s="6"/>
      <c r="G24" s="6"/>
      <c r="H24" s="27">
        <v>4</v>
      </c>
      <c r="I24" s="27">
        <v>12</v>
      </c>
      <c r="J24" s="27"/>
      <c r="K24" s="27"/>
      <c r="L24" s="27"/>
      <c r="M24" s="27"/>
      <c r="N24" s="27"/>
      <c r="O24" s="27"/>
      <c r="P24" s="27"/>
    </row>
    <row r="25" spans="1:16" ht="15">
      <c r="A25" s="6"/>
      <c r="B25" s="7" t="s">
        <v>68</v>
      </c>
      <c r="C25" s="55">
        <f>ROUND(C11*D19,2)</f>
        <v>398.7</v>
      </c>
      <c r="D25" s="55">
        <f>MIN(C25,ROUND(30*C17,2))</f>
        <v>398.7</v>
      </c>
      <c r="E25" s="6"/>
      <c r="F25" s="6"/>
      <c r="G25" s="6"/>
      <c r="H25" s="27">
        <v>5</v>
      </c>
      <c r="I25" s="27">
        <v>14</v>
      </c>
      <c r="J25" s="27"/>
      <c r="K25" s="27"/>
      <c r="L25" s="27"/>
      <c r="M25" s="27"/>
      <c r="N25" s="27"/>
      <c r="O25" s="27"/>
      <c r="P25" s="27"/>
    </row>
    <row r="26" spans="1:16" ht="15">
      <c r="A26" s="6"/>
      <c r="B26" s="7" t="s">
        <v>69</v>
      </c>
      <c r="C26" s="55">
        <f>ROUND(C11*(D20+C13),2)</f>
        <v>158</v>
      </c>
      <c r="D26" s="55"/>
      <c r="E26" s="6"/>
      <c r="F26" s="6"/>
      <c r="G26" s="6"/>
      <c r="H26" s="27">
        <v>6</v>
      </c>
      <c r="I26" s="27">
        <v>14</v>
      </c>
      <c r="J26" s="27"/>
      <c r="K26" s="27"/>
      <c r="L26" s="27"/>
      <c r="M26" s="27"/>
      <c r="N26" s="27"/>
      <c r="O26" s="27"/>
      <c r="P26" s="27"/>
    </row>
    <row r="27" spans="1:16" ht="15">
      <c r="A27" s="6"/>
      <c r="B27" s="7" t="s">
        <v>67</v>
      </c>
      <c r="C27" s="55">
        <f>ROUND(C26*C21,2)</f>
        <v>39.5</v>
      </c>
      <c r="D27" s="55">
        <f>MIN(C27,ROUND(15*C17,2))</f>
        <v>39.5</v>
      </c>
      <c r="E27" s="6"/>
      <c r="F27" s="6"/>
      <c r="G27" s="6"/>
      <c r="H27" s="27">
        <v>7</v>
      </c>
      <c r="I27" s="27">
        <v>14</v>
      </c>
      <c r="J27" s="27"/>
      <c r="K27" s="27"/>
      <c r="L27" s="27"/>
      <c r="M27" s="27"/>
      <c r="N27" s="27"/>
      <c r="O27" s="27"/>
      <c r="P27" s="27"/>
    </row>
    <row r="28" spans="1:16" ht="15">
      <c r="A28" s="6"/>
      <c r="B28" s="7" t="s">
        <v>79</v>
      </c>
      <c r="C28" s="55">
        <f>C14*C11</f>
        <v>0</v>
      </c>
      <c r="D28" s="55"/>
      <c r="E28" s="6"/>
      <c r="F28" s="6"/>
      <c r="G28" s="6"/>
      <c r="H28" s="27">
        <v>8</v>
      </c>
      <c r="I28" s="27">
        <v>14</v>
      </c>
      <c r="J28" s="27"/>
      <c r="K28" s="27"/>
      <c r="L28" s="27"/>
      <c r="M28" s="27"/>
      <c r="N28" s="27"/>
      <c r="O28" s="27"/>
      <c r="P28" s="27"/>
    </row>
    <row r="29" spans="1:16" ht="15">
      <c r="A29" s="6"/>
      <c r="B29" s="7" t="s">
        <v>70</v>
      </c>
      <c r="C29" s="12">
        <f>SUM(C25:C28)</f>
        <v>596.2</v>
      </c>
      <c r="D29" s="12">
        <f>SUM(D25:D28)</f>
        <v>438.2</v>
      </c>
      <c r="E29" s="6"/>
      <c r="F29" s="6"/>
      <c r="G29" s="6"/>
      <c r="H29" s="27">
        <v>9</v>
      </c>
      <c r="I29" s="27">
        <v>14</v>
      </c>
      <c r="J29" s="27"/>
      <c r="K29" s="27" t="s">
        <v>18</v>
      </c>
      <c r="L29" s="27"/>
      <c r="M29" s="27"/>
      <c r="N29" s="27"/>
      <c r="O29" s="27"/>
      <c r="P29" s="27"/>
    </row>
    <row r="30" spans="1:16" ht="15">
      <c r="A30" s="6"/>
      <c r="B30" s="61" t="s">
        <v>7</v>
      </c>
      <c r="C30" s="61"/>
      <c r="D30" s="61"/>
      <c r="E30" s="6"/>
      <c r="F30" s="6"/>
      <c r="G30" s="6"/>
      <c r="H30" s="27">
        <v>10</v>
      </c>
      <c r="I30" s="27">
        <v>16</v>
      </c>
      <c r="J30" s="27"/>
      <c r="K30" s="27" t="s">
        <v>19</v>
      </c>
      <c r="L30" s="28">
        <f>C36-D36-L88</f>
        <v>0</v>
      </c>
      <c r="M30" s="27"/>
      <c r="N30" s="27"/>
      <c r="O30" s="27"/>
      <c r="P30" s="27"/>
    </row>
    <row r="31" spans="1:16" ht="15">
      <c r="A31" s="6"/>
      <c r="B31" s="7" t="s">
        <v>71</v>
      </c>
      <c r="C31" s="56">
        <f>IF(C15&lt;&gt;J12,C11*90,0)</f>
        <v>0</v>
      </c>
      <c r="D31" s="19"/>
      <c r="E31" s="6"/>
      <c r="F31" s="6"/>
      <c r="G31" s="6"/>
      <c r="H31" s="27">
        <v>11</v>
      </c>
      <c r="I31" s="27">
        <v>16</v>
      </c>
      <c r="J31" s="27"/>
      <c r="K31" s="27" t="s">
        <v>20</v>
      </c>
      <c r="L31" s="27">
        <f>ROUND(L30/365*30.4,2)</f>
        <v>0</v>
      </c>
      <c r="M31" s="27"/>
      <c r="N31" s="27"/>
      <c r="O31" s="27"/>
      <c r="P31" s="27"/>
    </row>
    <row r="32" spans="1:16" ht="15">
      <c r="A32" s="6"/>
      <c r="B32" s="7" t="s">
        <v>72</v>
      </c>
      <c r="C32" s="56">
        <f>IF(OR(C15&lt;&gt;J12,C10&gt;=15),12*C10*MIN(C12,2*C17),0)</f>
        <v>0</v>
      </c>
      <c r="D32" s="19"/>
      <c r="E32" s="6"/>
      <c r="F32" s="6"/>
      <c r="G32" s="6"/>
      <c r="H32" s="27">
        <v>12</v>
      </c>
      <c r="I32" s="27">
        <v>16</v>
      </c>
      <c r="J32" s="27"/>
      <c r="K32" s="27" t="s">
        <v>22</v>
      </c>
      <c r="L32" s="27">
        <f>C11*30.4</f>
        <v>3040</v>
      </c>
      <c r="M32" s="27"/>
      <c r="N32" s="27"/>
      <c r="O32" s="27"/>
      <c r="P32" s="27"/>
    </row>
    <row r="33" spans="1:16" ht="15">
      <c r="A33" s="6"/>
      <c r="B33" s="7" t="s">
        <v>73</v>
      </c>
      <c r="C33" s="56">
        <f>IF(C15=J14,20*C12*C10,0)</f>
        <v>0</v>
      </c>
      <c r="D33" s="19"/>
      <c r="E33" s="6"/>
      <c r="F33" s="6"/>
      <c r="G33" s="6"/>
      <c r="H33" s="27">
        <v>13</v>
      </c>
      <c r="I33" s="27">
        <v>16</v>
      </c>
      <c r="J33" s="27"/>
      <c r="K33" s="27" t="s">
        <v>21</v>
      </c>
      <c r="L33" s="27">
        <f>L31+L32</f>
        <v>3040</v>
      </c>
      <c r="M33" s="27"/>
      <c r="N33" s="27" t="s">
        <v>37</v>
      </c>
      <c r="O33" s="27"/>
      <c r="P33" s="27"/>
    </row>
    <row r="34" spans="1:16" ht="15">
      <c r="A34" s="6"/>
      <c r="B34" s="7" t="s">
        <v>74</v>
      </c>
      <c r="C34" s="19">
        <f>SUM(C31:C33)</f>
        <v>0</v>
      </c>
      <c r="D34" s="19">
        <f>MIN(C34,ROUND(90*C17*ROUND(C10,0),2))</f>
        <v>0</v>
      </c>
      <c r="E34" s="6"/>
      <c r="F34" s="6"/>
      <c r="G34" s="6"/>
      <c r="H34" s="27">
        <v>14</v>
      </c>
      <c r="I34" s="27">
        <v>16</v>
      </c>
      <c r="J34" s="27"/>
      <c r="K34" s="27" t="s">
        <v>39</v>
      </c>
      <c r="L34" s="27">
        <f>O40</f>
        <v>172.33088</v>
      </c>
      <c r="M34" s="27"/>
      <c r="N34" s="27" t="s">
        <v>24</v>
      </c>
      <c r="O34" s="27"/>
      <c r="P34" s="27"/>
    </row>
    <row r="35" spans="1:16" ht="15" customHeight="1">
      <c r="A35" s="6"/>
      <c r="B35" s="6"/>
      <c r="C35" s="6"/>
      <c r="D35" s="6"/>
      <c r="E35" s="6"/>
      <c r="F35" s="6"/>
      <c r="G35" s="6"/>
      <c r="H35" s="27">
        <v>15</v>
      </c>
      <c r="I35" s="27">
        <v>18</v>
      </c>
      <c r="J35" s="27"/>
      <c r="K35" s="27" t="s">
        <v>23</v>
      </c>
      <c r="L35" s="28">
        <f>O49</f>
        <v>172.33088</v>
      </c>
      <c r="M35" s="27"/>
      <c r="N35" s="27" t="s">
        <v>31</v>
      </c>
      <c r="O35" s="27">
        <f>VLOOKUP($L$32,$L$66:$O$73,1)</f>
        <v>496.08</v>
      </c>
      <c r="P35" s="27"/>
    </row>
    <row r="36" spans="1:16" ht="15">
      <c r="A36" s="6"/>
      <c r="B36" s="7" t="s">
        <v>75</v>
      </c>
      <c r="C36" s="19">
        <f>C29+C34</f>
        <v>596.2</v>
      </c>
      <c r="D36" s="19">
        <f>D29+D34</f>
        <v>438.2</v>
      </c>
      <c r="E36" s="6"/>
      <c r="F36" s="6"/>
      <c r="G36" s="6"/>
      <c r="H36" s="27">
        <v>16</v>
      </c>
      <c r="I36" s="27">
        <v>18</v>
      </c>
      <c r="J36" s="27"/>
      <c r="K36" s="27" t="s">
        <v>40</v>
      </c>
      <c r="L36" s="28">
        <f>MAX(L35-L34,0)</f>
        <v>0</v>
      </c>
      <c r="M36" s="27"/>
      <c r="N36" s="27" t="s">
        <v>32</v>
      </c>
      <c r="O36" s="27">
        <f>$L$32-O35</f>
        <v>2543.92</v>
      </c>
      <c r="P36" s="27"/>
    </row>
    <row r="37" spans="1:16" ht="15.75" customHeight="1">
      <c r="A37" s="6"/>
      <c r="B37" s="6"/>
      <c r="C37" s="6"/>
      <c r="D37" s="6"/>
      <c r="E37" s="6"/>
      <c r="F37" s="6"/>
      <c r="G37" s="6"/>
      <c r="H37" s="27">
        <v>17</v>
      </c>
      <c r="I37" s="27">
        <v>18</v>
      </c>
      <c r="J37" s="27"/>
      <c r="K37" s="27" t="s">
        <v>1</v>
      </c>
      <c r="L37" s="27">
        <f>IF(L31&lt;=0,0,L36/L31)</f>
        <v>0</v>
      </c>
      <c r="M37" s="27"/>
      <c r="N37" s="27" t="s">
        <v>33</v>
      </c>
      <c r="O37" s="27">
        <f>VLOOKUP($L$32,$L$66:$O$73,4)</f>
        <v>0.064</v>
      </c>
      <c r="P37" s="27"/>
    </row>
    <row r="38" spans="1:16" ht="15">
      <c r="A38" s="6"/>
      <c r="B38" s="7" t="s">
        <v>76</v>
      </c>
      <c r="C38" s="20">
        <f>L38</f>
        <v>0</v>
      </c>
      <c r="D38" s="21"/>
      <c r="E38" s="6"/>
      <c r="F38" s="6"/>
      <c r="G38" s="6"/>
      <c r="H38" s="27">
        <v>18</v>
      </c>
      <c r="I38" s="27">
        <v>18</v>
      </c>
      <c r="J38" s="27"/>
      <c r="K38" s="27" t="s">
        <v>41</v>
      </c>
      <c r="L38" s="27">
        <f>ROUND(L30*L37,2)</f>
        <v>0</v>
      </c>
      <c r="M38" s="27"/>
      <c r="N38" s="27" t="s">
        <v>34</v>
      </c>
      <c r="O38" s="27">
        <f>O36*O37</f>
        <v>162.81088</v>
      </c>
      <c r="P38" s="27"/>
    </row>
    <row r="39" spans="1:16" ht="15">
      <c r="A39" s="6"/>
      <c r="B39" s="7" t="s">
        <v>80</v>
      </c>
      <c r="C39" s="19">
        <f>L106</f>
        <v>8.96</v>
      </c>
      <c r="D39" s="21"/>
      <c r="E39" s="6"/>
      <c r="F39" s="6"/>
      <c r="G39" s="6"/>
      <c r="H39" s="27">
        <v>19</v>
      </c>
      <c r="I39" s="27">
        <v>18</v>
      </c>
      <c r="J39" s="27"/>
      <c r="K39" s="27"/>
      <c r="L39" s="27"/>
      <c r="M39" s="27"/>
      <c r="N39" s="27" t="s">
        <v>35</v>
      </c>
      <c r="O39" s="27">
        <f>VLOOKUP($L$32,$L$66:$O$73,3)</f>
        <v>9.52</v>
      </c>
      <c r="P39" s="27"/>
    </row>
    <row r="40" spans="1:16" ht="15">
      <c r="A40" s="6"/>
      <c r="B40" s="7" t="s">
        <v>81</v>
      </c>
      <c r="C40" s="19">
        <f>L115</f>
        <v>21.15</v>
      </c>
      <c r="D40" s="21"/>
      <c r="E40" s="6"/>
      <c r="F40" s="6"/>
      <c r="G40" s="6"/>
      <c r="H40" s="27">
        <v>20</v>
      </c>
      <c r="I40" s="27">
        <v>20</v>
      </c>
      <c r="J40" s="27"/>
      <c r="K40" s="27"/>
      <c r="L40" s="27"/>
      <c r="M40" s="27"/>
      <c r="N40" s="27" t="s">
        <v>36</v>
      </c>
      <c r="O40" s="27">
        <f>O38+O39</f>
        <v>172.33088</v>
      </c>
      <c r="P40" s="27"/>
    </row>
    <row r="41" spans="1:16" ht="6" customHeight="1">
      <c r="A41" s="6"/>
      <c r="B41" s="6"/>
      <c r="C41" s="6"/>
      <c r="D41" s="6"/>
      <c r="E41" s="6"/>
      <c r="F41" s="6"/>
      <c r="G41" s="6"/>
      <c r="H41" s="27">
        <v>21</v>
      </c>
      <c r="I41" s="27">
        <v>20</v>
      </c>
      <c r="J41" s="27"/>
      <c r="K41" s="27"/>
      <c r="L41" s="27"/>
      <c r="M41" s="27"/>
      <c r="N41" s="27"/>
      <c r="O41" s="27"/>
      <c r="P41" s="27"/>
    </row>
    <row r="42" spans="1:16" ht="15">
      <c r="A42" s="6"/>
      <c r="B42" s="25" t="s">
        <v>77</v>
      </c>
      <c r="C42" s="17">
        <f>C36-C38-C39+C40</f>
        <v>608.39</v>
      </c>
      <c r="D42" s="16"/>
      <c r="E42" s="6"/>
      <c r="F42" s="6"/>
      <c r="G42" s="6"/>
      <c r="H42" s="27">
        <v>22</v>
      </c>
      <c r="I42" s="27">
        <v>20</v>
      </c>
      <c r="J42" s="27"/>
      <c r="K42" s="27"/>
      <c r="L42" s="27"/>
      <c r="M42" s="27"/>
      <c r="N42" s="27" t="s">
        <v>38</v>
      </c>
      <c r="O42" s="27"/>
      <c r="P42" s="27"/>
    </row>
    <row r="43" spans="1:16" ht="15">
      <c r="A43" s="6"/>
      <c r="B43" s="6"/>
      <c r="C43" s="6"/>
      <c r="D43" s="6"/>
      <c r="E43" s="6"/>
      <c r="F43" s="6"/>
      <c r="G43" s="6"/>
      <c r="H43" s="27">
        <v>23</v>
      </c>
      <c r="I43" s="27">
        <v>20</v>
      </c>
      <c r="J43" s="27"/>
      <c r="K43" s="27"/>
      <c r="L43" s="27"/>
      <c r="M43" s="27"/>
      <c r="N43" s="27" t="s">
        <v>24</v>
      </c>
      <c r="O43" s="27"/>
      <c r="P43" s="27"/>
    </row>
    <row r="44" spans="1:16" ht="15">
      <c r="A44" s="6"/>
      <c r="B44" s="6"/>
      <c r="C44" s="6"/>
      <c r="D44" s="6"/>
      <c r="E44" s="6"/>
      <c r="F44" s="6"/>
      <c r="G44" s="6"/>
      <c r="H44" s="27">
        <v>24</v>
      </c>
      <c r="I44" s="27">
        <v>20</v>
      </c>
      <c r="J44" s="27"/>
      <c r="K44" s="27"/>
      <c r="L44" s="27"/>
      <c r="M44" s="27"/>
      <c r="N44" s="27" t="s">
        <v>31</v>
      </c>
      <c r="O44" s="27">
        <f>VLOOKUP($L$33,$L$66:$O$73,1)</f>
        <v>496.08</v>
      </c>
      <c r="P44" s="27"/>
    </row>
    <row r="45" spans="3:15" ht="15">
      <c r="C45" s="3"/>
      <c r="H45" s="27">
        <v>25</v>
      </c>
      <c r="I45" s="27">
        <v>22</v>
      </c>
      <c r="N45" s="30" t="s">
        <v>32</v>
      </c>
      <c r="O45" s="31">
        <f>$L$33-O44</f>
        <v>2543.92</v>
      </c>
    </row>
    <row r="46" spans="8:15" ht="15">
      <c r="H46" s="29">
        <v>26</v>
      </c>
      <c r="I46" s="29">
        <v>22</v>
      </c>
      <c r="N46" s="30" t="s">
        <v>33</v>
      </c>
      <c r="O46" s="32">
        <f>VLOOKUP($L$33,$L$66:$O$73,4)</f>
        <v>0.064</v>
      </c>
    </row>
    <row r="47" spans="8:15" ht="15">
      <c r="H47" s="29">
        <v>27</v>
      </c>
      <c r="I47" s="29">
        <v>22</v>
      </c>
      <c r="N47" s="30" t="s">
        <v>34</v>
      </c>
      <c r="O47" s="31">
        <f>O45*O46</f>
        <v>162.81088</v>
      </c>
    </row>
    <row r="48" spans="8:15" ht="15">
      <c r="H48" s="29">
        <v>28</v>
      </c>
      <c r="I48" s="29">
        <v>22</v>
      </c>
      <c r="N48" s="30" t="s">
        <v>35</v>
      </c>
      <c r="O48" s="31">
        <f>VLOOKUP($L$33,$L$66:$O$73,3)</f>
        <v>9.52</v>
      </c>
    </row>
    <row r="49" spans="8:15" ht="15">
      <c r="H49" s="29">
        <v>29</v>
      </c>
      <c r="I49" s="29">
        <v>22</v>
      </c>
      <c r="N49" s="30" t="s">
        <v>36</v>
      </c>
      <c r="O49" s="31">
        <f>O47+O48</f>
        <v>172.33088</v>
      </c>
    </row>
    <row r="50" spans="8:9" ht="15">
      <c r="H50" s="29">
        <v>30</v>
      </c>
      <c r="I50" s="29">
        <v>24</v>
      </c>
    </row>
    <row r="51" spans="8:9" ht="15">
      <c r="H51" s="29">
        <v>31</v>
      </c>
      <c r="I51" s="29">
        <v>24</v>
      </c>
    </row>
    <row r="52" spans="8:9" ht="15">
      <c r="H52" s="29">
        <v>32</v>
      </c>
      <c r="I52" s="29">
        <v>24</v>
      </c>
    </row>
    <row r="53" spans="8:9" ht="15">
      <c r="H53" s="29">
        <v>33</v>
      </c>
      <c r="I53" s="29">
        <v>24</v>
      </c>
    </row>
    <row r="54" spans="8:9" ht="15">
      <c r="H54" s="29">
        <v>34</v>
      </c>
      <c r="I54" s="29">
        <v>24</v>
      </c>
    </row>
    <row r="55" spans="8:9" ht="15">
      <c r="H55" s="29">
        <v>35</v>
      </c>
      <c r="I55" s="29">
        <v>26</v>
      </c>
    </row>
    <row r="56" spans="8:9" ht="15">
      <c r="H56" s="29">
        <v>36</v>
      </c>
      <c r="I56" s="29">
        <v>26</v>
      </c>
    </row>
    <row r="57" spans="8:9" ht="15">
      <c r="H57" s="29">
        <v>37</v>
      </c>
      <c r="I57" s="29">
        <v>26</v>
      </c>
    </row>
    <row r="58" spans="8:9" ht="15">
      <c r="H58" s="29">
        <v>38</v>
      </c>
      <c r="I58" s="29">
        <v>26</v>
      </c>
    </row>
    <row r="59" spans="8:9" ht="15">
      <c r="H59" s="29">
        <v>39</v>
      </c>
      <c r="I59" s="29">
        <v>26</v>
      </c>
    </row>
    <row r="60" spans="8:9" ht="15">
      <c r="H60" s="29">
        <v>40</v>
      </c>
      <c r="I60" s="29">
        <v>28</v>
      </c>
    </row>
    <row r="61" spans="8:9" ht="15">
      <c r="H61" s="29">
        <v>41</v>
      </c>
      <c r="I61" s="29">
        <v>28</v>
      </c>
    </row>
    <row r="62" spans="8:9" ht="15">
      <c r="H62" s="29">
        <v>42</v>
      </c>
      <c r="I62" s="29">
        <v>28</v>
      </c>
    </row>
    <row r="63" spans="8:9" ht="15">
      <c r="H63" s="29">
        <v>43</v>
      </c>
      <c r="I63" s="29">
        <v>28</v>
      </c>
    </row>
    <row r="64" spans="8:9" ht="15">
      <c r="H64" s="29">
        <v>44</v>
      </c>
      <c r="I64" s="29">
        <v>28</v>
      </c>
    </row>
    <row r="65" spans="8:15" ht="15">
      <c r="H65" s="29">
        <v>45</v>
      </c>
      <c r="I65" s="29">
        <v>30</v>
      </c>
      <c r="K65" s="33" t="s">
        <v>24</v>
      </c>
      <c r="L65" s="34" t="s">
        <v>25</v>
      </c>
      <c r="M65" s="34" t="s">
        <v>26</v>
      </c>
      <c r="N65" s="35" t="s">
        <v>27</v>
      </c>
      <c r="O65" s="35" t="s">
        <v>28</v>
      </c>
    </row>
    <row r="66" spans="8:15" ht="15">
      <c r="H66" s="29">
        <v>46</v>
      </c>
      <c r="I66" s="29">
        <v>30</v>
      </c>
      <c r="K66" s="27"/>
      <c r="L66" s="5">
        <v>0</v>
      </c>
      <c r="M66" s="5">
        <f aca="true" t="shared" si="0" ref="M66:M72">L67-0.01</f>
        <v>496.07</v>
      </c>
      <c r="N66" s="5">
        <v>0</v>
      </c>
      <c r="O66" s="4">
        <v>0.0192</v>
      </c>
    </row>
    <row r="67" spans="8:15" ht="15">
      <c r="H67" s="29">
        <v>47</v>
      </c>
      <c r="I67" s="29">
        <v>30</v>
      </c>
      <c r="K67" s="27"/>
      <c r="L67" s="5">
        <v>496.08</v>
      </c>
      <c r="M67" s="5">
        <f t="shared" si="0"/>
        <v>4210.41</v>
      </c>
      <c r="N67" s="5">
        <v>9.52</v>
      </c>
      <c r="O67" s="4">
        <v>0.064</v>
      </c>
    </row>
    <row r="68" spans="8:15" ht="15">
      <c r="H68" s="29">
        <v>48</v>
      </c>
      <c r="I68" s="29">
        <v>30</v>
      </c>
      <c r="K68" s="27"/>
      <c r="L68" s="5">
        <v>4210.42</v>
      </c>
      <c r="M68" s="5">
        <f t="shared" si="0"/>
        <v>7399.42</v>
      </c>
      <c r="N68" s="5">
        <v>247.23</v>
      </c>
      <c r="O68" s="4">
        <v>0.10880000000000001</v>
      </c>
    </row>
    <row r="69" spans="8:15" ht="15">
      <c r="H69" s="29">
        <v>49</v>
      </c>
      <c r="I69" s="29">
        <v>30</v>
      </c>
      <c r="K69" s="27"/>
      <c r="L69" s="5">
        <v>7399.43</v>
      </c>
      <c r="M69" s="5">
        <f t="shared" si="0"/>
        <v>8601.5</v>
      </c>
      <c r="N69" s="5">
        <v>594.24</v>
      </c>
      <c r="O69" s="4">
        <v>0.16</v>
      </c>
    </row>
    <row r="70" spans="8:15" ht="15">
      <c r="H70" s="29">
        <v>50</v>
      </c>
      <c r="I70" s="29">
        <v>32</v>
      </c>
      <c r="K70" s="27"/>
      <c r="L70" s="5">
        <v>8601.51</v>
      </c>
      <c r="M70" s="5">
        <f t="shared" si="0"/>
        <v>10298.35</v>
      </c>
      <c r="N70" s="5">
        <v>786.55</v>
      </c>
      <c r="O70" s="4">
        <v>0.17920000000000003</v>
      </c>
    </row>
    <row r="71" spans="11:15" ht="15">
      <c r="K71" s="27"/>
      <c r="L71" s="5">
        <v>10298.36</v>
      </c>
      <c r="M71" s="5">
        <f t="shared" si="0"/>
        <v>20770.29</v>
      </c>
      <c r="N71" s="5">
        <v>1090.62</v>
      </c>
      <c r="O71" s="4">
        <v>0.2136</v>
      </c>
    </row>
    <row r="72" spans="11:15" ht="15">
      <c r="K72" s="27"/>
      <c r="L72" s="5">
        <v>20770.3</v>
      </c>
      <c r="M72" s="5">
        <f t="shared" si="0"/>
        <v>32736.83</v>
      </c>
      <c r="N72" s="5">
        <v>3327.42</v>
      </c>
      <c r="O72" s="4">
        <v>0.2352</v>
      </c>
    </row>
    <row r="73" spans="11:15" ht="15">
      <c r="K73" s="27"/>
      <c r="L73" s="5">
        <v>32736.84</v>
      </c>
      <c r="M73" s="5"/>
      <c r="N73" s="5">
        <v>6141.95</v>
      </c>
      <c r="O73" s="4">
        <v>0.3</v>
      </c>
    </row>
    <row r="74" spans="11:15" ht="15">
      <c r="K74" s="27"/>
      <c r="L74" s="36"/>
      <c r="M74" s="36"/>
      <c r="N74" s="27"/>
      <c r="O74" s="27"/>
    </row>
    <row r="75" spans="11:15" ht="15">
      <c r="K75" s="33" t="s">
        <v>29</v>
      </c>
      <c r="L75" s="34" t="s">
        <v>25</v>
      </c>
      <c r="M75" s="34" t="s">
        <v>26</v>
      </c>
      <c r="N75" s="35" t="s">
        <v>30</v>
      </c>
      <c r="O75" s="33"/>
    </row>
    <row r="76" spans="11:15" ht="15">
      <c r="K76" s="27"/>
      <c r="L76" s="5">
        <v>0</v>
      </c>
      <c r="M76" s="5">
        <f aca="true" t="shared" si="1" ref="M76:M85">L77-0.01</f>
        <v>1768.96</v>
      </c>
      <c r="N76" s="5">
        <v>407.02</v>
      </c>
      <c r="O76" s="27"/>
    </row>
    <row r="77" spans="11:15" ht="15">
      <c r="K77" s="27"/>
      <c r="L77" s="5">
        <v>1768.97</v>
      </c>
      <c r="M77" s="5">
        <f t="shared" si="1"/>
        <v>2653.3799999999997</v>
      </c>
      <c r="N77" s="5">
        <v>406.83</v>
      </c>
      <c r="O77" s="27"/>
    </row>
    <row r="78" spans="11:15" ht="15">
      <c r="K78" s="27"/>
      <c r="L78" s="5">
        <v>2653.39</v>
      </c>
      <c r="M78" s="5">
        <f t="shared" si="1"/>
        <v>3472.8399999999997</v>
      </c>
      <c r="N78" s="5">
        <v>406.62</v>
      </c>
      <c r="O78" s="27"/>
    </row>
    <row r="79" spans="11:15" ht="15">
      <c r="K79" s="27"/>
      <c r="L79" s="5">
        <v>3472.85</v>
      </c>
      <c r="M79" s="5">
        <f t="shared" si="1"/>
        <v>3537.87</v>
      </c>
      <c r="N79" s="5">
        <v>392.77</v>
      </c>
      <c r="O79" s="27"/>
    </row>
    <row r="80" spans="11:15" ht="15">
      <c r="K80" s="27"/>
      <c r="L80" s="5">
        <v>3537.88</v>
      </c>
      <c r="M80" s="5">
        <f t="shared" si="1"/>
        <v>4446.15</v>
      </c>
      <c r="N80" s="5">
        <v>382.46</v>
      </c>
      <c r="O80" s="27"/>
    </row>
    <row r="81" spans="11:15" ht="15">
      <c r="K81" s="27"/>
      <c r="L81" s="5">
        <v>4446.16</v>
      </c>
      <c r="M81" s="5">
        <f t="shared" si="1"/>
        <v>4717.179999999999</v>
      </c>
      <c r="N81" s="5">
        <v>354.23</v>
      </c>
      <c r="O81" s="27"/>
    </row>
    <row r="82" spans="11:15" ht="15">
      <c r="K82" s="27"/>
      <c r="L82" s="5">
        <v>4717.19</v>
      </c>
      <c r="M82" s="5">
        <f t="shared" si="1"/>
        <v>5335.42</v>
      </c>
      <c r="N82" s="5">
        <v>324.87</v>
      </c>
      <c r="O82" s="27"/>
    </row>
    <row r="83" spans="11:15" ht="15">
      <c r="K83" s="27"/>
      <c r="L83" s="5">
        <v>5335.43</v>
      </c>
      <c r="M83" s="5">
        <f t="shared" si="1"/>
        <v>6224.67</v>
      </c>
      <c r="N83" s="5">
        <v>294.63</v>
      </c>
      <c r="O83" s="27"/>
    </row>
    <row r="84" spans="11:15" ht="15">
      <c r="K84" s="27"/>
      <c r="L84" s="5">
        <v>6224.68</v>
      </c>
      <c r="M84" s="5">
        <f t="shared" si="1"/>
        <v>7113.9</v>
      </c>
      <c r="N84" s="5">
        <v>253.54</v>
      </c>
      <c r="O84" s="27"/>
    </row>
    <row r="85" spans="11:15" ht="15">
      <c r="K85" s="27"/>
      <c r="L85" s="5">
        <v>7113.91</v>
      </c>
      <c r="M85" s="5">
        <f t="shared" si="1"/>
        <v>7382.33</v>
      </c>
      <c r="N85" s="5">
        <v>217.61</v>
      </c>
      <c r="O85" s="27"/>
    </row>
    <row r="86" spans="11:15" ht="15">
      <c r="K86" s="27"/>
      <c r="L86" s="5">
        <v>7382.34</v>
      </c>
      <c r="M86" s="5"/>
      <c r="N86" s="5">
        <v>0</v>
      </c>
      <c r="O86" s="27"/>
    </row>
    <row r="88" spans="11:12" ht="15">
      <c r="K88" s="29" t="s">
        <v>83</v>
      </c>
      <c r="L88" s="47">
        <f>C26+C28</f>
        <v>158</v>
      </c>
    </row>
    <row r="89" spans="11:12" ht="15">
      <c r="K89" s="29" t="s">
        <v>84</v>
      </c>
      <c r="L89" s="37">
        <f>D20+C13+C14</f>
        <v>1.58</v>
      </c>
    </row>
    <row r="90" ht="15.75" thickBot="1"/>
    <row r="91" spans="11:13" ht="15.75" thickBot="1">
      <c r="K91" s="59" t="s">
        <v>42</v>
      </c>
      <c r="L91" s="60"/>
      <c r="M91" s="38"/>
    </row>
    <row r="92" spans="11:13" ht="15">
      <c r="K92" s="30" t="s">
        <v>43</v>
      </c>
      <c r="L92" s="31">
        <f>L88</f>
        <v>158</v>
      </c>
      <c r="M92" s="39"/>
    </row>
    <row r="93" spans="11:13" ht="15">
      <c r="K93" s="30" t="s">
        <v>44</v>
      </c>
      <c r="L93" s="40">
        <f>MAX(L89,1)</f>
        <v>1.58</v>
      </c>
      <c r="M93" s="39"/>
    </row>
    <row r="94" spans="11:13" ht="15">
      <c r="K94" s="30" t="s">
        <v>45</v>
      </c>
      <c r="L94" s="41">
        <v>30.4</v>
      </c>
      <c r="M94" s="39"/>
    </row>
    <row r="95" spans="11:13" ht="15">
      <c r="K95" s="30" t="s">
        <v>46</v>
      </c>
      <c r="L95" s="31">
        <f>ROUND(L92/L93*L94,2)</f>
        <v>3040</v>
      </c>
      <c r="M95" s="39"/>
    </row>
    <row r="96" spans="11:13" ht="15">
      <c r="K96" s="30" t="s">
        <v>24</v>
      </c>
      <c r="L96" s="31"/>
      <c r="M96" s="39"/>
    </row>
    <row r="97" spans="11:13" ht="15">
      <c r="K97" s="30" t="s">
        <v>31</v>
      </c>
      <c r="L97" s="31">
        <f>VLOOKUP($L$95,$L$66:$O$73,1)</f>
        <v>496.08</v>
      </c>
      <c r="M97" s="39"/>
    </row>
    <row r="98" spans="11:13" ht="15">
      <c r="K98" s="30" t="s">
        <v>32</v>
      </c>
      <c r="L98" s="31">
        <f>L95-L97</f>
        <v>2543.92</v>
      </c>
      <c r="M98" s="39"/>
    </row>
    <row r="99" spans="11:13" ht="15">
      <c r="K99" s="30" t="s">
        <v>33</v>
      </c>
      <c r="L99" s="32">
        <f>VLOOKUP($L$95,$L$66:$O$73,4)</f>
        <v>0.064</v>
      </c>
      <c r="M99" s="39"/>
    </row>
    <row r="100" spans="11:13" ht="15">
      <c r="K100" s="30" t="s">
        <v>34</v>
      </c>
      <c r="L100" s="31">
        <f>L98*L99</f>
        <v>162.81088</v>
      </c>
      <c r="M100" s="39"/>
    </row>
    <row r="101" spans="11:13" ht="15">
      <c r="K101" s="30" t="s">
        <v>35</v>
      </c>
      <c r="L101" s="31">
        <f>VLOOKUP($L$95,$L$66:$O$73,3)</f>
        <v>9.52</v>
      </c>
      <c r="M101" s="39"/>
    </row>
    <row r="102" spans="11:13" ht="15">
      <c r="K102" s="30" t="s">
        <v>36</v>
      </c>
      <c r="L102" s="31">
        <f>L100+L101</f>
        <v>172.33088</v>
      </c>
      <c r="M102" s="39"/>
    </row>
    <row r="103" spans="11:13" ht="15">
      <c r="K103" s="30"/>
      <c r="L103" s="31"/>
      <c r="M103" s="39"/>
    </row>
    <row r="104" spans="11:13" ht="15">
      <c r="K104" s="30" t="s">
        <v>47</v>
      </c>
      <c r="L104" s="41">
        <v>30.4</v>
      </c>
      <c r="M104" s="39"/>
    </row>
    <row r="105" spans="11:13" ht="15">
      <c r="K105" s="30" t="s">
        <v>48</v>
      </c>
      <c r="L105" s="40">
        <f>L89</f>
        <v>1.58</v>
      </c>
      <c r="M105" s="39"/>
    </row>
    <row r="106" spans="11:13" ht="15">
      <c r="K106" s="30" t="s">
        <v>49</v>
      </c>
      <c r="L106" s="31">
        <f>ROUND(L102/L104*L105,2)</f>
        <v>8.96</v>
      </c>
      <c r="M106" s="39"/>
    </row>
    <row r="107" spans="11:13" ht="15">
      <c r="K107" s="30"/>
      <c r="L107" s="31"/>
      <c r="M107" s="39"/>
    </row>
    <row r="108" spans="11:13" ht="15">
      <c r="K108" s="42" t="s">
        <v>50</v>
      </c>
      <c r="L108" s="31"/>
      <c r="M108" s="39"/>
    </row>
    <row r="109" spans="11:13" ht="15">
      <c r="K109" s="30" t="s">
        <v>51</v>
      </c>
      <c r="L109" s="31">
        <f>L95</f>
        <v>3040</v>
      </c>
      <c r="M109" s="39"/>
    </row>
    <row r="110" spans="11:13" ht="15">
      <c r="K110" s="43"/>
      <c r="L110" s="31"/>
      <c r="M110" s="39"/>
    </row>
    <row r="111" spans="11:13" ht="15">
      <c r="K111" s="30" t="s">
        <v>52</v>
      </c>
      <c r="L111" s="31">
        <f>IF(L88&lt;=0,0,VLOOKUP($L$88,$L$76:$N$86,3))</f>
        <v>407.02</v>
      </c>
      <c r="M111" s="39"/>
    </row>
    <row r="112" spans="11:13" ht="15">
      <c r="K112" s="30"/>
      <c r="L112" s="31"/>
      <c r="M112" s="39"/>
    </row>
    <row r="113" spans="11:13" ht="15">
      <c r="K113" s="30" t="s">
        <v>53</v>
      </c>
      <c r="L113" s="41">
        <v>30.4</v>
      </c>
      <c r="M113" s="39"/>
    </row>
    <row r="114" spans="11:13" ht="15">
      <c r="K114" s="30" t="s">
        <v>48</v>
      </c>
      <c r="L114" s="40">
        <f>L89</f>
        <v>1.58</v>
      </c>
      <c r="M114" s="39"/>
    </row>
    <row r="115" spans="11:13" ht="15.75" thickBot="1">
      <c r="K115" s="44" t="s">
        <v>54</v>
      </c>
      <c r="L115" s="45">
        <f>ROUND(L111/L113*L114,2)</f>
        <v>21.15</v>
      </c>
      <c r="M115" s="46"/>
    </row>
  </sheetData>
  <sheetProtection password="8B7F" sheet="1" selectLockedCells="1"/>
  <mergeCells count="6">
    <mergeCell ref="A2:E2"/>
    <mergeCell ref="B7:D7"/>
    <mergeCell ref="K91:L91"/>
    <mergeCell ref="B30:D30"/>
    <mergeCell ref="B18:C18"/>
    <mergeCell ref="B23:D23"/>
  </mergeCells>
  <dataValidations count="2">
    <dataValidation type="list" allowBlank="1" showInputMessage="1" showErrorMessage="1" promptTitle="Area geográfica" sqref="C16">
      <formula1>$J$8:$J$10</formula1>
    </dataValidation>
    <dataValidation type="list" allowBlank="1" showInputMessage="1" showErrorMessage="1" promptTitle="Montos a calcular" sqref="C15">
      <formula1>$J$12:$J$14</formula1>
    </dataValidation>
  </dataValidations>
  <printOptions/>
  <pageMargins left="0.7" right="0.7" top="0.75" bottom="0.75" header="0.3" footer="0.3"/>
  <pageSetup horizontalDpi="600" verticalDpi="600" orientation="portrait" scale="71" r:id="rId2"/>
  <ignoredErrors>
    <ignoredError sqref="C20 C25:C28 D25 D27 C31:C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21"/>
  <sheetViews>
    <sheetView zoomScalePageLayoutView="0" workbookViewId="0" topLeftCell="A1">
      <selection activeCell="M2" sqref="M2"/>
    </sheetView>
  </sheetViews>
  <sheetFormatPr defaultColWidth="9.140625" defaultRowHeight="15"/>
  <cols>
    <col min="1" max="2" width="9.140625" style="0" customWidth="1"/>
    <col min="3" max="3" width="10.7109375" style="0" bestFit="1" customWidth="1"/>
    <col min="4" max="11" width="9.140625" style="0" customWidth="1"/>
    <col min="12" max="12" width="10.140625" style="0" customWidth="1"/>
  </cols>
  <sheetData>
    <row r="1" spans="3:12" ht="15">
      <c r="C1" s="48">
        <v>39668</v>
      </c>
      <c r="D1">
        <v>0</v>
      </c>
      <c r="E1">
        <v>1</v>
      </c>
      <c r="F1">
        <v>2</v>
      </c>
      <c r="J1" t="s">
        <v>85</v>
      </c>
      <c r="L1" t="s">
        <v>86</v>
      </c>
    </row>
    <row r="2" spans="3:13" ht="15">
      <c r="C2" s="48">
        <v>39814</v>
      </c>
      <c r="D2" s="50">
        <f>_XLL.FRAC.AÑO($C$1,$C2,D$1)</f>
        <v>0.3972222222222222</v>
      </c>
      <c r="E2" s="50">
        <f>_XLL.FRAC.AÑO($C$1,$C2,E$1)</f>
        <v>0.4</v>
      </c>
      <c r="F2" s="50">
        <f>_XLL.FRAC.AÑO($C$1,$C2,F$1)</f>
        <v>0.40555555555555556</v>
      </c>
      <c r="G2">
        <f>C2-$C$1+1</f>
        <v>147</v>
      </c>
      <c r="H2" s="50">
        <f>ROUND(G2/365,2)</f>
        <v>0.4</v>
      </c>
      <c r="J2">
        <f>YEAR($C2)-YEAR($C$1)</f>
        <v>1</v>
      </c>
      <c r="K2" s="48">
        <f>DATE(YEAR($C2),MONTH($C$1),DAY($C$1))</f>
        <v>40033</v>
      </c>
      <c r="L2" s="49">
        <f>MIN(C2-K2,364.5)</f>
        <v>-219</v>
      </c>
      <c r="M2" s="53">
        <f>J2+L2/365</f>
        <v>0.4</v>
      </c>
    </row>
    <row r="3" spans="3:13" ht="15">
      <c r="C3" s="48">
        <v>39815</v>
      </c>
      <c r="D3" s="50">
        <f aca="true" t="shared" si="0" ref="D3:F19">_XLL.FRAC.AÑO($C$1,$C3,D$1)</f>
        <v>0.4</v>
      </c>
      <c r="E3" s="50">
        <f t="shared" si="0"/>
        <v>0.40273972602739727</v>
      </c>
      <c r="F3" s="50">
        <f t="shared" si="0"/>
        <v>0.4083333333333333</v>
      </c>
      <c r="G3">
        <f aca="true" t="shared" si="1" ref="G3:G19">C3-$C$1+1</f>
        <v>148</v>
      </c>
      <c r="H3" s="50">
        <f aca="true" t="shared" si="2" ref="H3:H19">ROUND(G3/365,2)</f>
        <v>0.41</v>
      </c>
      <c r="J3">
        <f aca="true" t="shared" si="3" ref="J3:J19">YEAR($C3)-YEAR($C$1)</f>
        <v>1</v>
      </c>
      <c r="K3" s="48">
        <f aca="true" t="shared" si="4" ref="K3:K19">DATE(YEAR($C3),MONTH($C$1),DAY($C$1))</f>
        <v>40033</v>
      </c>
      <c r="L3" s="49">
        <f aca="true" t="shared" si="5" ref="L3:L19">MIN(C3-K3,364.5)</f>
        <v>-218</v>
      </c>
      <c r="M3" s="53">
        <f aca="true" t="shared" si="6" ref="M3:M19">J3+L3/365</f>
        <v>0.40273972602739727</v>
      </c>
    </row>
    <row r="4" spans="3:13" ht="15">
      <c r="C4" s="48">
        <v>39995</v>
      </c>
      <c r="D4" s="50">
        <f t="shared" si="0"/>
        <v>0.8972222222222223</v>
      </c>
      <c r="E4" s="50">
        <f t="shared" si="0"/>
        <v>0.8958904109589041</v>
      </c>
      <c r="F4" s="50">
        <f t="shared" si="0"/>
        <v>0.9083333333333333</v>
      </c>
      <c r="G4">
        <f t="shared" si="1"/>
        <v>328</v>
      </c>
      <c r="H4" s="50">
        <f t="shared" si="2"/>
        <v>0.9</v>
      </c>
      <c r="J4">
        <f t="shared" si="3"/>
        <v>1</v>
      </c>
      <c r="K4" s="48">
        <f t="shared" si="4"/>
        <v>40033</v>
      </c>
      <c r="L4" s="49">
        <f t="shared" si="5"/>
        <v>-38</v>
      </c>
      <c r="M4" s="53">
        <f t="shared" si="6"/>
        <v>0.8958904109589041</v>
      </c>
    </row>
    <row r="5" spans="3:13" ht="15">
      <c r="C5" s="48">
        <v>40178</v>
      </c>
      <c r="D5" s="50">
        <f t="shared" si="0"/>
        <v>1.3972222222222221</v>
      </c>
      <c r="E5" s="50">
        <f t="shared" si="0"/>
        <v>1.3953488372093024</v>
      </c>
      <c r="F5" s="50">
        <f t="shared" si="0"/>
        <v>1.4166666666666667</v>
      </c>
      <c r="G5">
        <f t="shared" si="1"/>
        <v>511</v>
      </c>
      <c r="H5" s="50">
        <f t="shared" si="2"/>
        <v>1.4</v>
      </c>
      <c r="J5">
        <f t="shared" si="3"/>
        <v>1</v>
      </c>
      <c r="K5" s="48">
        <f t="shared" si="4"/>
        <v>40033</v>
      </c>
      <c r="L5" s="49">
        <f t="shared" si="5"/>
        <v>145</v>
      </c>
      <c r="M5" s="53">
        <f t="shared" si="6"/>
        <v>1.3972602739726028</v>
      </c>
    </row>
    <row r="6" spans="3:13" ht="15">
      <c r="C6" s="48">
        <v>40179</v>
      </c>
      <c r="D6" s="50">
        <f t="shared" si="0"/>
        <v>1.3972222222222221</v>
      </c>
      <c r="E6" s="50">
        <f t="shared" si="0"/>
        <v>1.3987226277372264</v>
      </c>
      <c r="F6" s="50">
        <f t="shared" si="0"/>
        <v>1.4194444444444445</v>
      </c>
      <c r="G6">
        <f t="shared" si="1"/>
        <v>512</v>
      </c>
      <c r="H6" s="50">
        <f t="shared" si="2"/>
        <v>1.4</v>
      </c>
      <c r="J6">
        <f t="shared" si="3"/>
        <v>2</v>
      </c>
      <c r="K6" s="48">
        <f t="shared" si="4"/>
        <v>40398</v>
      </c>
      <c r="L6" s="49">
        <f t="shared" si="5"/>
        <v>-219</v>
      </c>
      <c r="M6" s="53">
        <f t="shared" si="6"/>
        <v>1.4</v>
      </c>
    </row>
    <row r="7" spans="3:13" ht="15">
      <c r="C7" s="48">
        <v>40180</v>
      </c>
      <c r="D7" s="50">
        <f t="shared" si="0"/>
        <v>1.4</v>
      </c>
      <c r="E7" s="50">
        <f t="shared" si="0"/>
        <v>1.4014598540145986</v>
      </c>
      <c r="F7" s="50">
        <f t="shared" si="0"/>
        <v>1.4222222222222223</v>
      </c>
      <c r="G7">
        <f t="shared" si="1"/>
        <v>513</v>
      </c>
      <c r="H7" s="50">
        <f t="shared" si="2"/>
        <v>1.41</v>
      </c>
      <c r="J7">
        <f t="shared" si="3"/>
        <v>2</v>
      </c>
      <c r="K7" s="48">
        <f t="shared" si="4"/>
        <v>40398</v>
      </c>
      <c r="L7" s="49">
        <f t="shared" si="5"/>
        <v>-218</v>
      </c>
      <c r="M7" s="53">
        <f t="shared" si="6"/>
        <v>1.4027397260273973</v>
      </c>
    </row>
    <row r="8" spans="3:13" ht="15">
      <c r="C8" s="48">
        <v>40181</v>
      </c>
      <c r="D8" s="50">
        <f t="shared" si="0"/>
        <v>1.4027777777777777</v>
      </c>
      <c r="E8" s="50">
        <f t="shared" si="0"/>
        <v>1.4041970802919708</v>
      </c>
      <c r="F8" s="50">
        <f t="shared" si="0"/>
        <v>1.425</v>
      </c>
      <c r="G8">
        <f t="shared" si="1"/>
        <v>514</v>
      </c>
      <c r="H8" s="50">
        <f t="shared" si="2"/>
        <v>1.41</v>
      </c>
      <c r="J8">
        <f t="shared" si="3"/>
        <v>2</v>
      </c>
      <c r="K8" s="48">
        <f t="shared" si="4"/>
        <v>40398</v>
      </c>
      <c r="L8" s="49">
        <f t="shared" si="5"/>
        <v>-217</v>
      </c>
      <c r="M8" s="53">
        <f t="shared" si="6"/>
        <v>1.4054794520547946</v>
      </c>
    </row>
    <row r="9" spans="3:13" ht="15">
      <c r="C9" s="48">
        <v>40360</v>
      </c>
      <c r="D9" s="50">
        <f t="shared" si="0"/>
        <v>1.8972222222222221</v>
      </c>
      <c r="E9" s="50">
        <f t="shared" si="0"/>
        <v>1.894160583941606</v>
      </c>
      <c r="F9" s="50">
        <f t="shared" si="0"/>
        <v>1.9222222222222223</v>
      </c>
      <c r="G9">
        <f t="shared" si="1"/>
        <v>693</v>
      </c>
      <c r="H9" s="50">
        <f t="shared" si="2"/>
        <v>1.9</v>
      </c>
      <c r="J9">
        <f t="shared" si="3"/>
        <v>2</v>
      </c>
      <c r="K9" s="48">
        <f t="shared" si="4"/>
        <v>40398</v>
      </c>
      <c r="L9" s="49">
        <f t="shared" si="5"/>
        <v>-38</v>
      </c>
      <c r="M9" s="53">
        <f t="shared" si="6"/>
        <v>1.895890410958904</v>
      </c>
    </row>
    <row r="10" spans="3:13" ht="15">
      <c r="C10" s="48">
        <v>40513</v>
      </c>
      <c r="D10" s="50">
        <f t="shared" si="0"/>
        <v>2.313888888888889</v>
      </c>
      <c r="E10" s="50">
        <f t="shared" si="0"/>
        <v>2.312956204379562</v>
      </c>
      <c r="F10" s="50">
        <f t="shared" si="0"/>
        <v>2.3472222222222223</v>
      </c>
      <c r="G10">
        <f t="shared" si="1"/>
        <v>846</v>
      </c>
      <c r="H10" s="50">
        <f t="shared" si="2"/>
        <v>2.32</v>
      </c>
      <c r="J10">
        <f t="shared" si="3"/>
        <v>2</v>
      </c>
      <c r="K10" s="48">
        <f t="shared" si="4"/>
        <v>40398</v>
      </c>
      <c r="L10" s="49">
        <f t="shared" si="5"/>
        <v>115</v>
      </c>
      <c r="M10" s="53">
        <f t="shared" si="6"/>
        <v>2.315068493150685</v>
      </c>
    </row>
    <row r="11" spans="3:13" ht="15">
      <c r="C11" s="48">
        <v>40543</v>
      </c>
      <c r="D11" s="50">
        <f t="shared" si="0"/>
        <v>2.397222222222222</v>
      </c>
      <c r="E11" s="50">
        <f t="shared" si="0"/>
        <v>2.39507299270073</v>
      </c>
      <c r="F11" s="50">
        <f t="shared" si="0"/>
        <v>2.4305555555555554</v>
      </c>
      <c r="G11">
        <f t="shared" si="1"/>
        <v>876</v>
      </c>
      <c r="H11" s="50">
        <f t="shared" si="2"/>
        <v>2.4</v>
      </c>
      <c r="J11">
        <f t="shared" si="3"/>
        <v>2</v>
      </c>
      <c r="K11" s="48">
        <f t="shared" si="4"/>
        <v>40398</v>
      </c>
      <c r="L11" s="49">
        <f t="shared" si="5"/>
        <v>145</v>
      </c>
      <c r="M11" s="53">
        <f t="shared" si="6"/>
        <v>2.3972602739726026</v>
      </c>
    </row>
    <row r="12" spans="3:13" ht="15">
      <c r="C12" s="48">
        <v>40544</v>
      </c>
      <c r="D12" s="50">
        <f t="shared" si="0"/>
        <v>2.397222222222222</v>
      </c>
      <c r="E12" s="50">
        <f t="shared" si="0"/>
        <v>2.3983572895277208</v>
      </c>
      <c r="F12" s="50">
        <f t="shared" si="0"/>
        <v>2.433333333333333</v>
      </c>
      <c r="G12">
        <f t="shared" si="1"/>
        <v>877</v>
      </c>
      <c r="H12" s="50">
        <f t="shared" si="2"/>
        <v>2.4</v>
      </c>
      <c r="J12">
        <f t="shared" si="3"/>
        <v>3</v>
      </c>
      <c r="K12" s="48">
        <f t="shared" si="4"/>
        <v>40763</v>
      </c>
      <c r="L12" s="49">
        <f t="shared" si="5"/>
        <v>-219</v>
      </c>
      <c r="M12" s="53">
        <f t="shared" si="6"/>
        <v>2.4</v>
      </c>
    </row>
    <row r="13" spans="3:13" ht="15">
      <c r="C13" s="48">
        <v>40545</v>
      </c>
      <c r="D13" s="50">
        <f t="shared" si="0"/>
        <v>2.4</v>
      </c>
      <c r="E13" s="50">
        <f t="shared" si="0"/>
        <v>2.401095140314853</v>
      </c>
      <c r="F13" s="50">
        <f t="shared" si="0"/>
        <v>2.436111111111111</v>
      </c>
      <c r="G13">
        <f t="shared" si="1"/>
        <v>878</v>
      </c>
      <c r="H13" s="50">
        <f t="shared" si="2"/>
        <v>2.41</v>
      </c>
      <c r="J13">
        <f t="shared" si="3"/>
        <v>3</v>
      </c>
      <c r="K13" s="48">
        <f t="shared" si="4"/>
        <v>40763</v>
      </c>
      <c r="L13" s="49">
        <f t="shared" si="5"/>
        <v>-218</v>
      </c>
      <c r="M13" s="53">
        <f t="shared" si="6"/>
        <v>2.4027397260273973</v>
      </c>
    </row>
    <row r="14" spans="3:13" ht="15">
      <c r="C14" s="48">
        <v>40546</v>
      </c>
      <c r="D14" s="50">
        <f t="shared" si="0"/>
        <v>2.4027777777777777</v>
      </c>
      <c r="E14" s="50">
        <f t="shared" si="0"/>
        <v>2.403832991101985</v>
      </c>
      <c r="F14" s="50">
        <f t="shared" si="0"/>
        <v>2.438888888888889</v>
      </c>
      <c r="G14">
        <f t="shared" si="1"/>
        <v>879</v>
      </c>
      <c r="H14" s="50">
        <f t="shared" si="2"/>
        <v>2.41</v>
      </c>
      <c r="J14">
        <f t="shared" si="3"/>
        <v>3</v>
      </c>
      <c r="K14" s="48">
        <f t="shared" si="4"/>
        <v>40763</v>
      </c>
      <c r="L14" s="49">
        <f t="shared" si="5"/>
        <v>-217</v>
      </c>
      <c r="M14" s="53">
        <f t="shared" si="6"/>
        <v>2.4054794520547946</v>
      </c>
    </row>
    <row r="15" spans="3:13" ht="15">
      <c r="C15" s="48">
        <v>40725</v>
      </c>
      <c r="D15" s="50">
        <f t="shared" si="0"/>
        <v>2.897222222222222</v>
      </c>
      <c r="E15" s="50">
        <f t="shared" si="0"/>
        <v>2.8939082819986313</v>
      </c>
      <c r="F15" s="50">
        <f t="shared" si="0"/>
        <v>2.936111111111111</v>
      </c>
      <c r="G15">
        <f t="shared" si="1"/>
        <v>1058</v>
      </c>
      <c r="H15" s="50">
        <f t="shared" si="2"/>
        <v>2.9</v>
      </c>
      <c r="J15">
        <f t="shared" si="3"/>
        <v>3</v>
      </c>
      <c r="K15" s="48">
        <f t="shared" si="4"/>
        <v>40763</v>
      </c>
      <c r="L15" s="49">
        <f t="shared" si="5"/>
        <v>-38</v>
      </c>
      <c r="M15" s="53">
        <f t="shared" si="6"/>
        <v>2.8958904109589043</v>
      </c>
    </row>
    <row r="16" spans="3:13" ht="15">
      <c r="C16" s="48">
        <v>40878</v>
      </c>
      <c r="D16" s="50">
        <f t="shared" si="0"/>
        <v>3.313888888888889</v>
      </c>
      <c r="E16" s="50">
        <f t="shared" si="0"/>
        <v>3.3127994524298425</v>
      </c>
      <c r="F16" s="50">
        <f t="shared" si="0"/>
        <v>3.361111111111111</v>
      </c>
      <c r="G16">
        <f t="shared" si="1"/>
        <v>1211</v>
      </c>
      <c r="H16" s="50">
        <f t="shared" si="2"/>
        <v>3.32</v>
      </c>
      <c r="J16">
        <f t="shared" si="3"/>
        <v>3</v>
      </c>
      <c r="K16" s="48">
        <f t="shared" si="4"/>
        <v>40763</v>
      </c>
      <c r="L16" s="49">
        <f t="shared" si="5"/>
        <v>115</v>
      </c>
      <c r="M16" s="53">
        <f t="shared" si="6"/>
        <v>3.315068493150685</v>
      </c>
    </row>
    <row r="17" spans="3:13" ht="15">
      <c r="C17" s="48">
        <v>40908</v>
      </c>
      <c r="D17" s="50">
        <f t="shared" si="0"/>
        <v>3.397222222222222</v>
      </c>
      <c r="E17" s="50">
        <f t="shared" si="0"/>
        <v>3.3949349760438055</v>
      </c>
      <c r="F17" s="50">
        <f t="shared" si="0"/>
        <v>3.4444444444444446</v>
      </c>
      <c r="G17">
        <f t="shared" si="1"/>
        <v>1241</v>
      </c>
      <c r="H17" s="50">
        <f t="shared" si="2"/>
        <v>3.4</v>
      </c>
      <c r="J17">
        <f t="shared" si="3"/>
        <v>3</v>
      </c>
      <c r="K17" s="48">
        <f t="shared" si="4"/>
        <v>40763</v>
      </c>
      <c r="L17" s="49">
        <f t="shared" si="5"/>
        <v>145</v>
      </c>
      <c r="M17" s="53">
        <f t="shared" si="6"/>
        <v>3.3972602739726026</v>
      </c>
    </row>
    <row r="18" spans="3:13" ht="15">
      <c r="C18" s="48">
        <v>40909</v>
      </c>
      <c r="D18" s="50">
        <f t="shared" si="0"/>
        <v>3.397222222222222</v>
      </c>
      <c r="E18" s="50">
        <f t="shared" si="0"/>
        <v>3.3962780514504654</v>
      </c>
      <c r="F18" s="50">
        <f t="shared" si="0"/>
        <v>3.4472222222222224</v>
      </c>
      <c r="G18">
        <f t="shared" si="1"/>
        <v>1242</v>
      </c>
      <c r="H18" s="50">
        <f t="shared" si="2"/>
        <v>3.4</v>
      </c>
      <c r="J18">
        <f t="shared" si="3"/>
        <v>4</v>
      </c>
      <c r="K18" s="48">
        <f t="shared" si="4"/>
        <v>41129</v>
      </c>
      <c r="L18" s="49">
        <f t="shared" si="5"/>
        <v>-220</v>
      </c>
      <c r="M18" s="53">
        <f t="shared" si="6"/>
        <v>3.397260273972603</v>
      </c>
    </row>
    <row r="19" spans="3:13" ht="15">
      <c r="C19" s="48">
        <v>41274</v>
      </c>
      <c r="D19" s="50">
        <f t="shared" si="0"/>
        <v>4.397222222222222</v>
      </c>
      <c r="E19" s="50">
        <f t="shared" si="0"/>
        <v>4.395183360700602</v>
      </c>
      <c r="F19" s="50">
        <f t="shared" si="0"/>
        <v>4.461111111111111</v>
      </c>
      <c r="G19">
        <f t="shared" si="1"/>
        <v>1607</v>
      </c>
      <c r="H19" s="50">
        <f t="shared" si="2"/>
        <v>4.4</v>
      </c>
      <c r="J19">
        <f t="shared" si="3"/>
        <v>4</v>
      </c>
      <c r="K19" s="48">
        <f t="shared" si="4"/>
        <v>41129</v>
      </c>
      <c r="L19" s="49">
        <f t="shared" si="5"/>
        <v>145</v>
      </c>
      <c r="M19" s="53">
        <f t="shared" si="6"/>
        <v>4.397260273972603</v>
      </c>
    </row>
    <row r="20" spans="3:8" ht="15">
      <c r="C20" s="48"/>
      <c r="D20" s="50"/>
      <c r="E20" s="50"/>
      <c r="F20" s="50"/>
      <c r="H20" s="50"/>
    </row>
    <row r="21" spans="4:8" ht="15">
      <c r="D21" s="50"/>
      <c r="H21" s="5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2011-04-08T04:42:57Z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